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ringer_MC" sheetId="1" r:id="rId1"/>
  </sheets>
  <definedNames>
    <definedName name="Excel_BuiltIn__FilterDatabase_1">'Springer_MC'!$C$16:$C$16</definedName>
    <definedName name="Excel_BuiltIn_Sheet_Title_1">"Books"</definedName>
    <definedName name="_xlnm.Print_Titles" localSheetId="0">'Springer_MC'!$16:$16</definedName>
    <definedName name="_xlnm.Print_Area" localSheetId="0">'Springer_MC'!$C$16:$N$511</definedName>
  </definedNames>
  <calcPr fullCalcOnLoad="1"/>
</workbook>
</file>

<file path=xl/sharedStrings.xml><?xml version="1.0" encoding="utf-8"?>
<sst xmlns="http://schemas.openxmlformats.org/spreadsheetml/2006/main" count="4486" uniqueCount="1396">
  <si>
    <t>Price</t>
  </si>
  <si>
    <t>ISBN</t>
  </si>
  <si>
    <t>Berke</t>
  </si>
  <si>
    <t>Monograph</t>
  </si>
  <si>
    <t>Biomedicine</t>
  </si>
  <si>
    <t>Kutikhin</t>
  </si>
  <si>
    <t>Lajtha</t>
  </si>
  <si>
    <t>Brain and Spinal Cord Trauma</t>
  </si>
  <si>
    <t>Handbook</t>
  </si>
  <si>
    <t>Meadows</t>
  </si>
  <si>
    <t>Contributed volume</t>
  </si>
  <si>
    <t>Cancer Growth and Progression/15</t>
  </si>
  <si>
    <t>Semmler</t>
  </si>
  <si>
    <t>Handbook of Experimental Pharmacology/185/1</t>
  </si>
  <si>
    <t>Handbook of Experimental Pharmacology/185/2</t>
  </si>
  <si>
    <t>Silva</t>
  </si>
  <si>
    <t>At the Building Block Level</t>
  </si>
  <si>
    <t>Fundamental Biomedical Technologies/n/a</t>
  </si>
  <si>
    <t>Stella</t>
  </si>
  <si>
    <t>Biotechnology: Pharmaceutical Aspects/V</t>
  </si>
  <si>
    <t>Teng</t>
  </si>
  <si>
    <t>Practical NMR Applications</t>
  </si>
  <si>
    <t>Graduate/advanced undergraduate textbook</t>
  </si>
  <si>
    <t>Zheng</t>
  </si>
  <si>
    <t>Methods and Protocols</t>
  </si>
  <si>
    <t>Methods in Molecular Biology/928</t>
  </si>
  <si>
    <t>Abele</t>
  </si>
  <si>
    <t>A Handbook for Strategy and Implementation</t>
  </si>
  <si>
    <t>Professional book</t>
  </si>
  <si>
    <t>Business and Management</t>
  </si>
  <si>
    <t>Altmann</t>
  </si>
  <si>
    <t>Managing Higher Education Institutions in the Age of Globalization</t>
  </si>
  <si>
    <t>Innovation, Technology, and Knowledge Management/n/a</t>
  </si>
  <si>
    <t>Baan</t>
  </si>
  <si>
    <t>When Information Becomes Inspiration</t>
  </si>
  <si>
    <t>Management for Professionals/2</t>
  </si>
  <si>
    <t>Becker</t>
  </si>
  <si>
    <t>Process Management in the Age of e-Government and New Public Management</t>
  </si>
  <si>
    <t>BPM Competence/n/a</t>
  </si>
  <si>
    <t>Borghesi</t>
  </si>
  <si>
    <t>How to Assess, Transfer and Communicate Critical Risks</t>
  </si>
  <si>
    <t>Perspectives in Business Culture/n/a</t>
  </si>
  <si>
    <t>Dupouet</t>
  </si>
  <si>
    <t>An Ambidexterity Approach</t>
  </si>
  <si>
    <t>Brief</t>
  </si>
  <si>
    <t>SpringerBriefs in Digital Spaces/n/a</t>
  </si>
  <si>
    <t>Falck</t>
  </si>
  <si>
    <t>Econometric Analyses</t>
  </si>
  <si>
    <t>Contributions to Management Science/n/a</t>
  </si>
  <si>
    <t>Grösser</t>
  </si>
  <si>
    <t>Concepts, Models-Based Approaches and Applications</t>
  </si>
  <si>
    <t>Idowu</t>
  </si>
  <si>
    <t>Encyclop(a)edia</t>
  </si>
  <si>
    <t>Lay</t>
  </si>
  <si>
    <t>Konzepte und Beispiele erfolgreicher Strategieentwicklung</t>
  </si>
  <si>
    <t>Maedche</t>
  </si>
  <si>
    <t>Fundamentals, Trends and Best Practices</t>
  </si>
  <si>
    <t>Management for Professionals/n/a</t>
  </si>
  <si>
    <t>Maeder</t>
  </si>
  <si>
    <t>Rudolph</t>
  </si>
  <si>
    <t>Text and Cases</t>
  </si>
  <si>
    <t>Sapelli</t>
  </si>
  <si>
    <t>Albertsson</t>
  </si>
  <si>
    <t>Renewable, Degradable and Recyclable</t>
  </si>
  <si>
    <t>Reviews</t>
  </si>
  <si>
    <t>Chemistry</t>
  </si>
  <si>
    <t>Advances in Polymer Science/211</t>
  </si>
  <si>
    <t>Albrecht-Schmitt</t>
  </si>
  <si>
    <t>Structure and Bonding/127</t>
  </si>
  <si>
    <t>Avvakumov</t>
  </si>
  <si>
    <t>A Basis for New Chemical Technologies</t>
  </si>
  <si>
    <t>Boeyens</t>
  </si>
  <si>
    <t>Bradbury</t>
  </si>
  <si>
    <t>Topics in Medicinal Chemistry/2</t>
  </si>
  <si>
    <t>Carey</t>
  </si>
  <si>
    <t>Part A: Structure and Mechanisms</t>
  </si>
  <si>
    <t>Part A: Structure and Mechanisms/n/a</t>
  </si>
  <si>
    <t>Part B: Reaction and Synthesis</t>
  </si>
  <si>
    <t>Part B: Reactions and Synthesis/n/a</t>
  </si>
  <si>
    <t>Carlomagno</t>
  </si>
  <si>
    <t>Synthetic, Structural and Mechanistic Insights</t>
  </si>
  <si>
    <t>Topics in Current Chemistry/286</t>
  </si>
  <si>
    <t>Cataldo</t>
  </si>
  <si>
    <t>Carbon Materials: Chemistry and Physics/1</t>
  </si>
  <si>
    <t>Charalampopoulos</t>
  </si>
  <si>
    <t>Charles</t>
  </si>
  <si>
    <t>Cragg</t>
  </si>
  <si>
    <t>From Biological Inspiration to Biomedical Applications</t>
  </si>
  <si>
    <t>Fabbrizzi</t>
  </si>
  <si>
    <t>Artistry in the Creation of New Molecules</t>
  </si>
  <si>
    <t>Topics in Current Chemistry/323</t>
  </si>
  <si>
    <t>Fermini</t>
  </si>
  <si>
    <t>Topics in Medicinal Chemistry/3</t>
  </si>
  <si>
    <t>Hassner</t>
  </si>
  <si>
    <t>Topics in Heterocyclic Chemistry/12</t>
  </si>
  <si>
    <t>Topics in Heterocyclic Chemistry/13</t>
  </si>
  <si>
    <t>Hoffmann</t>
  </si>
  <si>
    <t>Hsu</t>
  </si>
  <si>
    <t>Reference work</t>
  </si>
  <si>
    <t>Hu</t>
  </si>
  <si>
    <t>A Molecular Approach</t>
  </si>
  <si>
    <t>Jay</t>
  </si>
  <si>
    <t>Food Science Text Series/n/a</t>
  </si>
  <si>
    <t>Kato</t>
  </si>
  <si>
    <t>Structure and Bonding/128</t>
  </si>
  <si>
    <t>Keil</t>
  </si>
  <si>
    <t>Kobayashi</t>
  </si>
  <si>
    <t>Advances in Polymer Science/217</t>
  </si>
  <si>
    <t>Krohn</t>
  </si>
  <si>
    <t>Mode of Action, Clinical Aspects and New Drugs</t>
  </si>
  <si>
    <t>Topics in Current Chemistry/283</t>
  </si>
  <si>
    <t>Biological Occurence and Biosynthesis, Synthesis and Chemistry</t>
  </si>
  <si>
    <t>Topics in Current Chemistry/282</t>
  </si>
  <si>
    <t>Leitner</t>
  </si>
  <si>
    <t>Topics in Organometallic Chemistry/23</t>
  </si>
  <si>
    <t>Lemaire</t>
  </si>
  <si>
    <t>Topics in Organometallic Chemistry/15</t>
  </si>
  <si>
    <t>Li</t>
  </si>
  <si>
    <t>SpringerBriefs in Molecular Science/n/a</t>
  </si>
  <si>
    <t>Lu</t>
  </si>
  <si>
    <t>Structure and Bonding/131</t>
  </si>
  <si>
    <t>Majoral</t>
  </si>
  <si>
    <t>Topics in Current Chemistry/229</t>
  </si>
  <si>
    <t>Marder</t>
  </si>
  <si>
    <t>Advances in Polymer Science/214</t>
  </si>
  <si>
    <t>Advances in Polymer Science/213</t>
  </si>
  <si>
    <t>Borylenes, Boryls, Borane Sigma-Complexes, and Borohydrides</t>
  </si>
  <si>
    <t>Structure and Bonding/130</t>
  </si>
  <si>
    <t>Matsumoto</t>
  </si>
  <si>
    <t>Topics in Heterocyclic Chemistry/17</t>
  </si>
  <si>
    <t>Motohashi</t>
  </si>
  <si>
    <t>Flavonoids and Anthocyanins in Plants, and Latest Bioactive Heterocycles I</t>
  </si>
  <si>
    <t>Topics in Heterocyclic Chemistry/15</t>
  </si>
  <si>
    <t>Okada</t>
  </si>
  <si>
    <t>Springer Series in Materials Science/111</t>
  </si>
  <si>
    <t>Orlik</t>
  </si>
  <si>
    <t>Spatiotemporal Patterns and Control of Chaos</t>
  </si>
  <si>
    <t>Monographs in Electrochemistry/n/a</t>
  </si>
  <si>
    <t>General Principles of Self-organization. Temporal Instabilities</t>
  </si>
  <si>
    <t>Paine</t>
  </si>
  <si>
    <t>Penades</t>
  </si>
  <si>
    <t>Mimetic Approaches to Study Carbohydrate Recognition</t>
  </si>
  <si>
    <t>Topics in Current Chemistry/218</t>
  </si>
  <si>
    <t>Peters</t>
  </si>
  <si>
    <t>Topics in Current Chemistry/273</t>
  </si>
  <si>
    <t>Ramawat</t>
  </si>
  <si>
    <t>Rich</t>
  </si>
  <si>
    <t>Roussak</t>
  </si>
  <si>
    <t>A Textbook for Engineers and Technologists</t>
  </si>
  <si>
    <t>Sahin</t>
  </si>
  <si>
    <t>Samori</t>
  </si>
  <si>
    <t>Topics in Current Chemistry/285</t>
  </si>
  <si>
    <t>Schalley</t>
  </si>
  <si>
    <t>Functional and Hyperbranched Building Blocks, Photophysical Properties, Applications in Materials and Life Sciences</t>
  </si>
  <si>
    <t>Topics in Current Chemistry/228</t>
  </si>
  <si>
    <t>Scherer</t>
  </si>
  <si>
    <t>Advances in Polymer Science/215</t>
  </si>
  <si>
    <t>Advances in Polymer Science/216</t>
  </si>
  <si>
    <t>Scherf</t>
  </si>
  <si>
    <t>Advances in Polymer Science/212</t>
  </si>
  <si>
    <t>Schlesinger</t>
  </si>
  <si>
    <t>Modern Aspects of Electrochemistry/44</t>
  </si>
  <si>
    <t>Shimizu</t>
  </si>
  <si>
    <t>Nanotubes</t>
  </si>
  <si>
    <t>Advances in Polymer Science/220</t>
  </si>
  <si>
    <t>Smith</t>
  </si>
  <si>
    <t>Physical Chemistry in Action/n/a</t>
  </si>
  <si>
    <t>Soai</t>
  </si>
  <si>
    <t>Topics in Current Chemistry/284</t>
  </si>
  <si>
    <t>Strekowski</t>
  </si>
  <si>
    <t>Synthesis, Properties and Applications</t>
  </si>
  <si>
    <t>Topics in Heterocyclic Chemistry/14</t>
  </si>
  <si>
    <t>Toldrá</t>
  </si>
  <si>
    <t>Principles and Applications</t>
  </si>
  <si>
    <t>Research and Development/n/a</t>
  </si>
  <si>
    <t>Valcarcel Cases</t>
  </si>
  <si>
    <t>Europe</t>
  </si>
  <si>
    <t>Vehkamäki</t>
  </si>
  <si>
    <t>Vilar</t>
  </si>
  <si>
    <t>Structure and Bonding/129</t>
  </si>
  <si>
    <t>Werther</t>
  </si>
  <si>
    <t>Advances in Biochemical Engineering/Biotechnology/110</t>
  </si>
  <si>
    <t>Yu</t>
  </si>
  <si>
    <t>Undergraduate textbook</t>
  </si>
  <si>
    <t>Zvára</t>
  </si>
  <si>
    <t>Methods for Studying Gaseous Compounds</t>
  </si>
  <si>
    <t>Molecular Sieves/6</t>
  </si>
  <si>
    <t>Ashish</t>
  </si>
  <si>
    <t>Foundations, Algorithms, and Applications</t>
  </si>
  <si>
    <t>Computer Science</t>
  </si>
  <si>
    <t>Semantic Web and Beyond/12</t>
  </si>
  <si>
    <t>Assar</t>
  </si>
  <si>
    <t>Best Practices from Around the World</t>
  </si>
  <si>
    <t>Batchelor</t>
  </si>
  <si>
    <t>Baun</t>
  </si>
  <si>
    <t>Web-Based Dynamic IT Services</t>
  </si>
  <si>
    <t>Bellocchio</t>
  </si>
  <si>
    <t>Multi-Scale Hierarchical Approaches</t>
  </si>
  <si>
    <t>Berndtsson</t>
  </si>
  <si>
    <t>A Guide for Students in Computer Science and Information Systems</t>
  </si>
  <si>
    <t>Biggs</t>
  </si>
  <si>
    <t>Springer Undergraduate Mathematics Series/n/a</t>
  </si>
  <si>
    <t>Braunstein</t>
  </si>
  <si>
    <t>SpringerBriefs in Computer Science/n/a</t>
  </si>
  <si>
    <t>Brazdil</t>
  </si>
  <si>
    <t>Applications to Data Mining</t>
  </si>
  <si>
    <t>Cognitive Technologies/n/a</t>
  </si>
  <si>
    <t>Bräunl</t>
  </si>
  <si>
    <t>Mobile Robot Design and Applications with Embedded Systems</t>
  </si>
  <si>
    <t>Chen</t>
  </si>
  <si>
    <t>Using JOGL and Java3D</t>
  </si>
  <si>
    <t>Cheng</t>
  </si>
  <si>
    <t>First International Conference, WASA 2006, Xi'an, China, August 15-17, 2006, Proceedings</t>
  </si>
  <si>
    <t>Proceedings</t>
  </si>
  <si>
    <t>Lecture Notes in Computer Science/4138</t>
  </si>
  <si>
    <t>De Raedt</t>
  </si>
  <si>
    <t>Dowek</t>
  </si>
  <si>
    <t>Undergraduate Topics in Computer Science/n/a</t>
  </si>
  <si>
    <t>Ertel</t>
  </si>
  <si>
    <t>Fensel</t>
  </si>
  <si>
    <t>Ghanea-Hercock</t>
  </si>
  <si>
    <t>Goettl</t>
  </si>
  <si>
    <t>4th International Conference, ITS ’98, San Antonio, Texas, USA, August 16–19, 1998, Proceedings</t>
  </si>
  <si>
    <t>Lecture Notes in Computer Science/1452</t>
  </si>
  <si>
    <t>Hazzan</t>
  </si>
  <si>
    <t>Hildebrandt</t>
  </si>
  <si>
    <t>Cross-Disciplinary Perspectives</t>
  </si>
  <si>
    <t>Hill</t>
  </si>
  <si>
    <t>Principles and Practice</t>
  </si>
  <si>
    <t>Computer Communications and Networks/n/a</t>
  </si>
  <si>
    <t>Hromkovic</t>
  </si>
  <si>
    <t>Introduction to Design Paradigms</t>
  </si>
  <si>
    <t>Texts in Theoretical Computer Science. An EATCS Series/n/a</t>
  </si>
  <si>
    <t>Jensen</t>
  </si>
  <si>
    <t>Modelling and Validation of Concurrent Systems</t>
  </si>
  <si>
    <t>Krüger</t>
  </si>
  <si>
    <t>Ethical, Legal and Political Challenges</t>
  </si>
  <si>
    <t>König</t>
  </si>
  <si>
    <t>Lupu</t>
  </si>
  <si>
    <t>The Information Retrieval Series/29</t>
  </si>
  <si>
    <t>Marchese</t>
  </si>
  <si>
    <t>From Text to Art to Culture</t>
  </si>
  <si>
    <t>Mazza</t>
  </si>
  <si>
    <t>Nadathur</t>
  </si>
  <si>
    <t>International Conference, PPDP'99, Paris, France, September, 29 - October 1, 1999, Proceedings</t>
  </si>
  <si>
    <t>Lecture Notes in Computer Science/1702</t>
  </si>
  <si>
    <t>Nehmzow</t>
  </si>
  <si>
    <t>Design, Description, Analysis and Modelling</t>
  </si>
  <si>
    <t>Nikolaev</t>
  </si>
  <si>
    <t>Genetic Programming, Backpropagation and Bayesian Methods</t>
  </si>
  <si>
    <t>Genetic and Evolutionary Computation/n/a</t>
  </si>
  <si>
    <t>O’Regan</t>
  </si>
  <si>
    <t>An Accessible Guide to Historical, Foundational and Application Contexts</t>
  </si>
  <si>
    <t>Pace</t>
  </si>
  <si>
    <t>Pastor</t>
  </si>
  <si>
    <t>A Software Production Environment Based on Conceptual Modeling</t>
  </si>
  <si>
    <t>Paun</t>
  </si>
  <si>
    <t>An Introduction</t>
  </si>
  <si>
    <t>Natural Computing Series/n/a</t>
  </si>
  <si>
    <t>Perwass</t>
  </si>
  <si>
    <t>Geometry and Computing/4</t>
  </si>
  <si>
    <t>Rehm</t>
  </si>
  <si>
    <t>White Paper Series/n/a</t>
  </si>
  <si>
    <t>Richter</t>
  </si>
  <si>
    <t>9th International Conference, ALT’98, Otzenhausen, Germany, October 8–10, 1998 Proceedings</t>
  </si>
  <si>
    <t>Lecture Notes in Artificial Intelligence/1501</t>
  </si>
  <si>
    <t>Robles-Kelly</t>
  </si>
  <si>
    <t>Advances in Computer Vision and Pattern Recognition/n/a</t>
  </si>
  <si>
    <t>Skiena</t>
  </si>
  <si>
    <t>Teuscher</t>
  </si>
  <si>
    <t>Commemorative publication</t>
  </si>
  <si>
    <t>Toriwaki</t>
  </si>
  <si>
    <t>Traynor</t>
  </si>
  <si>
    <t>Advances in Information Security/40</t>
  </si>
  <si>
    <t>Wood</t>
  </si>
  <si>
    <t>Zhou</t>
  </si>
  <si>
    <t>Silverman</t>
  </si>
  <si>
    <t>Cultural and Media Studies</t>
  </si>
  <si>
    <t>Yasuda</t>
  </si>
  <si>
    <t>From Yangtze to Khmer Civilizations</t>
  </si>
  <si>
    <t>Advances in Asian Human-Environmental Research/n/a</t>
  </si>
  <si>
    <t>Schmalz</t>
  </si>
  <si>
    <t>Dentistry</t>
  </si>
  <si>
    <t>Bengtsson</t>
  </si>
  <si>
    <t>Earth Sciences</t>
  </si>
  <si>
    <t>Space Sciences Series of ISSI/41</t>
  </si>
  <si>
    <t>Foken</t>
  </si>
  <si>
    <t>Gadallah</t>
  </si>
  <si>
    <t>Haq</t>
  </si>
  <si>
    <t>Coastal Systems and Continental Margins/1</t>
  </si>
  <si>
    <t>Klötzli</t>
  </si>
  <si>
    <t>Monte Verita/n/a</t>
  </si>
  <si>
    <t>Krapivin</t>
  </si>
  <si>
    <t>Environmental Sciences/n/a</t>
  </si>
  <si>
    <t>Lang</t>
  </si>
  <si>
    <t>Astronomy and Astrophysics Library/n/a</t>
  </si>
  <si>
    <t>Manutchehr-Danai</t>
  </si>
  <si>
    <t>Dictionary</t>
  </si>
  <si>
    <t>Mohanakumar</t>
  </si>
  <si>
    <t>Mohr</t>
  </si>
  <si>
    <t>Mögliche Beiträge und Beschäftigungseffekte</t>
  </si>
  <si>
    <t>Paterson</t>
  </si>
  <si>
    <t>Springer Geochemistry/Mineralogy/n/a</t>
  </si>
  <si>
    <t>Rivard</t>
  </si>
  <si>
    <t>Atlas and Glossary</t>
  </si>
  <si>
    <t>Environmental Science/n/a</t>
  </si>
  <si>
    <t>Talebi</t>
  </si>
  <si>
    <t>Pageoph Topical Volumes/n/a</t>
  </si>
  <si>
    <t>Teisseyre</t>
  </si>
  <si>
    <t>Earthquake Rotation and Soliton Waves</t>
  </si>
  <si>
    <t>Waelder</t>
  </si>
  <si>
    <t>Wolkersdorfer</t>
  </si>
  <si>
    <t>Fundamentals, Tracer Tests, Modelling, Water Treatment</t>
  </si>
  <si>
    <t>Ashimov</t>
  </si>
  <si>
    <t>Economics</t>
  </si>
  <si>
    <t>Böhringer</t>
  </si>
  <si>
    <t>ZEW Economic Studies/31</t>
  </si>
  <si>
    <t>Costantini</t>
  </si>
  <si>
    <t>Innovation, Environmental Policy and Competitiveness</t>
  </si>
  <si>
    <t>De Benedictis</t>
  </si>
  <si>
    <t>An Analysis Through Gravity Models</t>
  </si>
  <si>
    <t>Heer</t>
  </si>
  <si>
    <t>Computational Methods and Applications</t>
  </si>
  <si>
    <t>Kaufmann</t>
  </si>
  <si>
    <t>Great Britain, Sweden, France and Germany Between Capitalism and Socialism</t>
  </si>
  <si>
    <t>German Social Policy/5</t>
  </si>
  <si>
    <t>McKenzie</t>
  </si>
  <si>
    <t>A Remake of a Classic for New Generations of Economics Students</t>
  </si>
  <si>
    <t>Pagliara</t>
  </si>
  <si>
    <t>Models and Applications</t>
  </si>
  <si>
    <t>Advances in Spatial Science/n/a</t>
  </si>
  <si>
    <t>Wang</t>
  </si>
  <si>
    <t>Zweifel</t>
  </si>
  <si>
    <t>Adelsberger</t>
  </si>
  <si>
    <t>Education</t>
  </si>
  <si>
    <t>International Handbooks on Information Systems/n/a</t>
  </si>
  <si>
    <t>Barton</t>
  </si>
  <si>
    <t>Telling Mathematical Tales</t>
  </si>
  <si>
    <t>Mathematics Education Library/44</t>
  </si>
  <si>
    <t>Conole</t>
  </si>
  <si>
    <t>Explorations in the Learning Sciences, Instructional Systems and Performance Technologies/4</t>
  </si>
  <si>
    <t>Gross</t>
  </si>
  <si>
    <t>Hess</t>
  </si>
  <si>
    <t>STEM Essentials for the 21st Century</t>
  </si>
  <si>
    <t>Popular science</t>
  </si>
  <si>
    <t>Hoppe</t>
  </si>
  <si>
    <t>Studies in Technology Enhanced Collaborative Learning</t>
  </si>
  <si>
    <t>Computer-Supported Collaborative Learning Series/9</t>
  </si>
  <si>
    <t>Kincheloe</t>
  </si>
  <si>
    <t>Explorations of Educational Purpose/1</t>
  </si>
  <si>
    <t>Maclean</t>
  </si>
  <si>
    <t>Smart</t>
  </si>
  <si>
    <t>Higher Education: Handbook of Theory and Research/23</t>
  </si>
  <si>
    <t>Trifonas</t>
  </si>
  <si>
    <t>Difficult Dialogues</t>
  </si>
  <si>
    <t>Wallwork</t>
  </si>
  <si>
    <t>Educational supplement</t>
  </si>
  <si>
    <t>Davim J</t>
  </si>
  <si>
    <t>Energy</t>
  </si>
  <si>
    <t>Materials Forming, Machining and Tribology/n/a</t>
  </si>
  <si>
    <t>Irvine</t>
  </si>
  <si>
    <t>Past Present and Future Perspectives for SOFC Technologies</t>
  </si>
  <si>
    <t>Green Energy and Technology/n/a</t>
  </si>
  <si>
    <t>Jiang</t>
  </si>
  <si>
    <t>de Oliveira Junior</t>
  </si>
  <si>
    <t>Production, Cost and Renewability</t>
  </si>
  <si>
    <t>Annaratone</t>
  </si>
  <si>
    <t>Description and Design</t>
  </si>
  <si>
    <t>Engineering</t>
  </si>
  <si>
    <t>Artmann</t>
  </si>
  <si>
    <t>Baskar</t>
  </si>
  <si>
    <t>The Interface of Biotechnology, Chemistry and Materials Science</t>
  </si>
  <si>
    <t>Benesty</t>
  </si>
  <si>
    <t>Bhushan</t>
  </si>
  <si>
    <t>Cantatore</t>
  </si>
  <si>
    <t>A Technology-Enabled Revolution</t>
  </si>
  <si>
    <t>Integrated Circuits and Systems/n/a</t>
  </si>
  <si>
    <t>Cassandras</t>
  </si>
  <si>
    <t>Chaskalovic</t>
  </si>
  <si>
    <t>Theoretical Approach and Problem Solving Techniques</t>
  </si>
  <si>
    <t>Choy</t>
  </si>
  <si>
    <t>Materials and Device Physics</t>
  </si>
  <si>
    <t>Christensen</t>
  </si>
  <si>
    <t>American, Chinese and European Perspectives</t>
  </si>
  <si>
    <t>Philosophy of Engineering and Technology/11</t>
  </si>
  <si>
    <t>Cortelezzi</t>
  </si>
  <si>
    <t>CISM International Centre for Mechanical Sciences/510</t>
  </si>
  <si>
    <t>Di Piazza</t>
  </si>
  <si>
    <t>Modeling and Emulation</t>
  </si>
  <si>
    <t>Dutoit</t>
  </si>
  <si>
    <t>A MATLAB™-Based Proof of Concept</t>
  </si>
  <si>
    <t>Efendiev</t>
  </si>
  <si>
    <t>Theory and Applications</t>
  </si>
  <si>
    <t>Surveys and Tutorials in the Applied Mathematical Sciences/4</t>
  </si>
  <si>
    <t>El-Bawab</t>
  </si>
  <si>
    <t>Fulcher</t>
  </si>
  <si>
    <t>Studies in Computational Intelligence/115</t>
  </si>
  <si>
    <t>Genta</t>
  </si>
  <si>
    <t>Volume 2: System Design</t>
  </si>
  <si>
    <t>Mechanical Engineering Series/n/a</t>
  </si>
  <si>
    <t>Volume 1: Components Design</t>
  </si>
  <si>
    <t>Handke</t>
  </si>
  <si>
    <t>New Opportunities and Service Concepts for Sustainable Mobility</t>
  </si>
  <si>
    <t>Hauke</t>
  </si>
  <si>
    <t>Fluid Mechanics and Its Applications/86</t>
  </si>
  <si>
    <t>Hoffelner</t>
  </si>
  <si>
    <t>From Safe Design to Residual Life Assessments</t>
  </si>
  <si>
    <t>Jablonski</t>
  </si>
  <si>
    <t>Katupitiya</t>
  </si>
  <si>
    <t>Programming Real-World Applications</t>
  </si>
  <si>
    <t>Khoury</t>
  </si>
  <si>
    <t>Architecture and Economics</t>
  </si>
  <si>
    <t>Signals and Communication Technology/n/a</t>
  </si>
  <si>
    <t>Klepaczko</t>
  </si>
  <si>
    <t>CISM International Centre for Mechanical Sciences/515</t>
  </si>
  <si>
    <t>Knauth</t>
  </si>
  <si>
    <t>Ionic Conducting Materials and Structural Spectroscopies</t>
  </si>
  <si>
    <t>Electronic Materials: Science &amp; Technology/10</t>
  </si>
  <si>
    <t>Liberman</t>
  </si>
  <si>
    <t>Explosion, Flame, Detonation</t>
  </si>
  <si>
    <t>Léon</t>
  </si>
  <si>
    <t>Mobile and Portable Applications</t>
  </si>
  <si>
    <t>Matveev</t>
  </si>
  <si>
    <t>Control Engineering/n/a</t>
  </si>
  <si>
    <t>Merzouki</t>
  </si>
  <si>
    <t>Modeling, Control and Diagnosis</t>
  </si>
  <si>
    <t>Milella</t>
  </si>
  <si>
    <t>Misra</t>
  </si>
  <si>
    <t>Momber</t>
  </si>
  <si>
    <t>Noerstrud</t>
  </si>
  <si>
    <t>Collected works</t>
  </si>
  <si>
    <t>CISM International Centre for Mechanical Sciences/506</t>
  </si>
  <si>
    <t>Nof</t>
  </si>
  <si>
    <t>Nosonovsky</t>
  </si>
  <si>
    <t>Friction, Superhydrophobicity, and Biomimetics</t>
  </si>
  <si>
    <t>NanoScience and Technology/n/a</t>
  </si>
  <si>
    <t>Pham</t>
  </si>
  <si>
    <t>Prats</t>
  </si>
  <si>
    <t>Applications to Assistive Robotics</t>
  </si>
  <si>
    <t>Springer Tracts in Advanced Robotics/84</t>
  </si>
  <si>
    <t>Ramesh</t>
  </si>
  <si>
    <t>Mechanics and Mechanisms</t>
  </si>
  <si>
    <t>Reinhart-King</t>
  </si>
  <si>
    <t>Studies in Mechanobiology, Tissue Engineering and Biomaterials/12</t>
  </si>
  <si>
    <t>Repin</t>
  </si>
  <si>
    <t>Dedicated to Professor P. Neittaanmäki on His 60th Birthday</t>
  </si>
  <si>
    <t>Computational Methods in Applied Sciences/27</t>
  </si>
  <si>
    <t>Schiehlen</t>
  </si>
  <si>
    <t>Theoretical Foundations and Advanced Applications</t>
  </si>
  <si>
    <t>CISM International Centre for Mechanical Sciences/497</t>
  </si>
  <si>
    <t>Shukuya</t>
  </si>
  <si>
    <t>Theory and Applications in the Built Environment</t>
  </si>
  <si>
    <t>Siciliano</t>
  </si>
  <si>
    <t>Smolinski</t>
  </si>
  <si>
    <t>Current Trends and Open Problems</t>
  </si>
  <si>
    <t>Studies in Computational Intelligence/122</t>
  </si>
  <si>
    <t>Suhir</t>
  </si>
  <si>
    <t>Volume I Materials Physics - Materials Mechanics. Volume II Physical Design - Reliability and Packaging</t>
  </si>
  <si>
    <t>Thévenin</t>
  </si>
  <si>
    <t>Torenbeek</t>
  </si>
  <si>
    <t>Essentials of Aeronautical Disciplines and Technology, with Historical Notes</t>
  </si>
  <si>
    <t>Tropea</t>
  </si>
  <si>
    <t>Truesdell</t>
  </si>
  <si>
    <t>Modern Birkhäuser Classics/n/a</t>
  </si>
  <si>
    <t>Vakakis</t>
  </si>
  <si>
    <t>Solid Mechanics and Its Applications/156</t>
  </si>
  <si>
    <t>Ventra</t>
  </si>
  <si>
    <t>Nanostructure Science and Technology/n/a</t>
  </si>
  <si>
    <t>Warnatz</t>
  </si>
  <si>
    <t>Physical and Chemical Fundamentals, Modeling and Simulation, Experiments, Pollutant Formation</t>
  </si>
  <si>
    <t>Waszczyszyn</t>
  </si>
  <si>
    <t>CISM International Centre for Mechanical Sciences/512</t>
  </si>
  <si>
    <t>Wriggers</t>
  </si>
  <si>
    <t>Yuan</t>
  </si>
  <si>
    <t>Analog Circuits and Signal Processing/n/a</t>
  </si>
  <si>
    <t>Ziemann</t>
  </si>
  <si>
    <t>Optical Short Range Transmission Systems</t>
  </si>
  <si>
    <t>de Brito</t>
  </si>
  <si>
    <t>Use of Industrial, Construction and Demolition Waste</t>
  </si>
  <si>
    <t>Érdi</t>
  </si>
  <si>
    <t>Ahmad</t>
  </si>
  <si>
    <t>Agricultural and Environmental Applications</t>
  </si>
  <si>
    <t>Environment</t>
  </si>
  <si>
    <t>Cracknell</t>
  </si>
  <si>
    <t>Anthropogenic Changes to Planet Earth</t>
  </si>
  <si>
    <t>Egelston</t>
  </si>
  <si>
    <t>A History</t>
  </si>
  <si>
    <t>Hartemink</t>
  </si>
  <si>
    <t>Johnson</t>
  </si>
  <si>
    <t>Kassim</t>
  </si>
  <si>
    <t>Anthropogenic Compounds/3 / 3U</t>
  </si>
  <si>
    <t>Springer Praxis Books/n/a</t>
  </si>
  <si>
    <t>Leeuwen</t>
  </si>
  <si>
    <t>Paegelow</t>
  </si>
  <si>
    <t>Advances in Geomatic Solutions</t>
  </si>
  <si>
    <t>Parkhurst</t>
  </si>
  <si>
    <t>Bol</t>
  </si>
  <si>
    <t>Decisions in Banking and Finance</t>
  </si>
  <si>
    <t>Finance</t>
  </si>
  <si>
    <t>Contributions to Economics/n/a</t>
  </si>
  <si>
    <t>Lemieux</t>
  </si>
  <si>
    <t>Data Governance, Analytics and Life Cycle Management</t>
  </si>
  <si>
    <t>Bolewski</t>
  </si>
  <si>
    <t>General Science</t>
  </si>
  <si>
    <t>Barale</t>
  </si>
  <si>
    <t>Geography</t>
  </si>
  <si>
    <t>Bazzanella</t>
  </si>
  <si>
    <t>Simulation, Scenario and Visioning, Governance and Scale</t>
  </si>
  <si>
    <t>Springer Geography/n/a</t>
  </si>
  <si>
    <t>Bernard</t>
  </si>
  <si>
    <t>Taking Geoinformation Science One Step Further</t>
  </si>
  <si>
    <t>Lecture Notes in Geoinformation and Cartography/n/a</t>
  </si>
  <si>
    <t>Bocher</t>
  </si>
  <si>
    <t>Buchroithner</t>
  </si>
  <si>
    <t>Autostereoscopic and Solid Visualisation of Geodata</t>
  </si>
  <si>
    <t>Evert</t>
  </si>
  <si>
    <t>Multilingual Reference Book in English, Spanish, French and German</t>
  </si>
  <si>
    <t>Helming</t>
  </si>
  <si>
    <t>Air-flow Criteria for Healthy and Comfortable Urban Living</t>
  </si>
  <si>
    <t>Kidokoro</t>
  </si>
  <si>
    <t>Realities, Innovations and Strategies</t>
  </si>
  <si>
    <t>cSUR-UT Series: Library for Sustainable Urban Regeneration/8</t>
  </si>
  <si>
    <t>Kolbe</t>
  </si>
  <si>
    <t>Leibenath</t>
  </si>
  <si>
    <t>Mind the Gaps!</t>
  </si>
  <si>
    <t>Central and Eastern European Development Studies (CEEDES)/n/a</t>
  </si>
  <si>
    <t>Litwin</t>
  </si>
  <si>
    <t>Understanding. Editing. Publishing</t>
  </si>
  <si>
    <t>Meng</t>
  </si>
  <si>
    <t>Design, Interaction and Usability</t>
  </si>
  <si>
    <t>Moore</t>
  </si>
  <si>
    <t>New Dimensions in Cartography</t>
  </si>
  <si>
    <t>Peterson</t>
  </si>
  <si>
    <t>Pettit</t>
  </si>
  <si>
    <t>Spatial Models for Natural Resource Management and Planning</t>
  </si>
  <si>
    <t>Ruas</t>
  </si>
  <si>
    <t>13th International Symposium on Spatial Data Handling</t>
  </si>
  <si>
    <t>Shao</t>
  </si>
  <si>
    <t>Atmospheric and Oceanographic Sciences Library/37</t>
  </si>
  <si>
    <t>Tamás</t>
  </si>
  <si>
    <t>Past, Present, and Future</t>
  </si>
  <si>
    <t>Zentai</t>
  </si>
  <si>
    <t>Children, Education and Internet</t>
  </si>
  <si>
    <t>Publications of the International Cartographic Association (ICA)/n/a</t>
  </si>
  <si>
    <t>Belenky</t>
  </si>
  <si>
    <t>A Guide to the U.S. Presidential Election System</t>
  </si>
  <si>
    <t>Law</t>
  </si>
  <si>
    <t>SpringerBriefs in Law/n/a</t>
  </si>
  <si>
    <t>Beneyto</t>
  </si>
  <si>
    <t>The European and the American Experiences</t>
  </si>
  <si>
    <t>Biehler</t>
  </si>
  <si>
    <t>Larouche</t>
  </si>
  <si>
    <t>New Role, Continuing Relevance</t>
  </si>
  <si>
    <t>Neergaard</t>
  </si>
  <si>
    <t>Legal Issues of Services of General Interest/n/a</t>
  </si>
  <si>
    <t>Ramcharan</t>
  </si>
  <si>
    <t>Schlechtriem</t>
  </si>
  <si>
    <t>The UN Convention on the International Sale of Goods</t>
  </si>
  <si>
    <t>Springer-Lehrbuch/n/a</t>
  </si>
  <si>
    <t>Weber</t>
  </si>
  <si>
    <t>Ţuţuianu</t>
  </si>
  <si>
    <t>Bergethon</t>
  </si>
  <si>
    <t>Solutions Manual to the Second Edition</t>
  </si>
  <si>
    <t>Life Sciences</t>
  </si>
  <si>
    <t>Chary</t>
  </si>
  <si>
    <t>From Molecules to Human</t>
  </si>
  <si>
    <t>Focus on Structural Biology/6</t>
  </si>
  <si>
    <t>Chupeau</t>
  </si>
  <si>
    <t>Cockett</t>
  </si>
  <si>
    <t>Genome Mapping and Genomics in Animals/3</t>
  </si>
  <si>
    <t>Dhooria</t>
  </si>
  <si>
    <t>Dudoit</t>
  </si>
  <si>
    <t>Springer Series in Statistics/n/a</t>
  </si>
  <si>
    <t>Fritsche-Neto</t>
  </si>
  <si>
    <t>Garrity</t>
  </si>
  <si>
    <t>Volume Two: The Proteobacteria, Part A Introductory Essays</t>
  </si>
  <si>
    <t>Volume Two: The Proteobacteria (Part C)</t>
  </si>
  <si>
    <t>Gescher</t>
  </si>
  <si>
    <t>From Geochemistry to Potential Applications</t>
  </si>
  <si>
    <t>Kocher</t>
  </si>
  <si>
    <t>Genome Mapping and Genomics in Animals/2</t>
  </si>
  <si>
    <t>Korb</t>
  </si>
  <si>
    <t>Leitch</t>
  </si>
  <si>
    <t>Physical Structure, Behaviour and Evolution of Plant Genomes</t>
  </si>
  <si>
    <t>Methods in Molecular Biology/782</t>
  </si>
  <si>
    <t>Mashanov</t>
  </si>
  <si>
    <t>Methods in Molecular Biology/778</t>
  </si>
  <si>
    <t>Owens</t>
  </si>
  <si>
    <t>Pontarotti</t>
  </si>
  <si>
    <t>Rigden</t>
  </si>
  <si>
    <t>Schmidt-Krey</t>
  </si>
  <si>
    <t>Methods in Molecular Biology/955</t>
  </si>
  <si>
    <t>Schäfer</t>
  </si>
  <si>
    <t>Energy Conservation and Conversion</t>
  </si>
  <si>
    <t>Results and Problems in Cell Differentiation/45</t>
  </si>
  <si>
    <t>Sener</t>
  </si>
  <si>
    <t>Shen</t>
  </si>
  <si>
    <t>Biological and Medical Physics, Biomedical Engineering/n/a</t>
  </si>
  <si>
    <t>Stanturf</t>
  </si>
  <si>
    <t>Integrating Natural and Social Sciences</t>
  </si>
  <si>
    <t>World Forests/15</t>
  </si>
  <si>
    <t>Takhtajan</t>
  </si>
  <si>
    <t>Tuteja</t>
  </si>
  <si>
    <t>Ussery</t>
  </si>
  <si>
    <t>Bioinformatics for Microbiologists</t>
  </si>
  <si>
    <t>Computational Biology/8</t>
  </si>
  <si>
    <t>Vaidehi</t>
  </si>
  <si>
    <t>Methods in Molecular Biology/914</t>
  </si>
  <si>
    <t>Vishvanath</t>
  </si>
  <si>
    <t>Whitman</t>
  </si>
  <si>
    <t>Volume 5: The Actinobacteria</t>
  </si>
  <si>
    <t>Xu</t>
  </si>
  <si>
    <t>Methods in Molecular Biology/722</t>
  </si>
  <si>
    <t>#esták</t>
  </si>
  <si>
    <t>Transformation, Crystallization, Kinetics and Thermodynamics</t>
  </si>
  <si>
    <t>Materials Science</t>
  </si>
  <si>
    <t>Hot Topics in Thermal Analysis and Calorimetry/9</t>
  </si>
  <si>
    <t>Asai</t>
  </si>
  <si>
    <t>Materials Processing by Using Electric and Magnetic Functions</t>
  </si>
  <si>
    <t>Fluid Mechanics and Its Applications/99</t>
  </si>
  <si>
    <t>Avérous</t>
  </si>
  <si>
    <t>Coutelieris</t>
  </si>
  <si>
    <t>Advanced Structured Materials/20</t>
  </si>
  <si>
    <t>Cranford</t>
  </si>
  <si>
    <t>Springer Series in Materials Science/165</t>
  </si>
  <si>
    <t>Delgado</t>
  </si>
  <si>
    <t>Advanced Structured Materials/27</t>
  </si>
  <si>
    <t>Heiz</t>
  </si>
  <si>
    <t>Hesketh</t>
  </si>
  <si>
    <t>MEMS Reference Shelf/n/a</t>
  </si>
  <si>
    <t>Kalantar-zadeh</t>
  </si>
  <si>
    <t>Kasap</t>
  </si>
  <si>
    <t>Loboda</t>
  </si>
  <si>
    <t>Carbon Nanostructures/n/a</t>
  </si>
  <si>
    <t>Mittal</t>
  </si>
  <si>
    <t>Engineering Materials/n/a</t>
  </si>
  <si>
    <t>Moreira</t>
  </si>
  <si>
    <t>Advanced Structured Materials/8</t>
  </si>
  <si>
    <t>Ohno</t>
  </si>
  <si>
    <t>Advances in Materials Research/9</t>
  </si>
  <si>
    <t>Rogach</t>
  </si>
  <si>
    <t>Synthesis, Assembly, Spectroscopy and Applications</t>
  </si>
  <si>
    <t>Sadovskaya</t>
  </si>
  <si>
    <t>Advanced Structured Materials/21</t>
  </si>
  <si>
    <t>Saha</t>
  </si>
  <si>
    <t>Frontier Work in Atmospheric Corrosion</t>
  </si>
  <si>
    <t>Vogt</t>
  </si>
  <si>
    <t>Williams</t>
  </si>
  <si>
    <t>A Textbook for Materials Science</t>
  </si>
  <si>
    <t>Zribi</t>
  </si>
  <si>
    <t>Synthesis, Physics and Applications</t>
  </si>
  <si>
    <t>Integrated Analytical Systems/n/a</t>
  </si>
  <si>
    <t>Öchsner</t>
  </si>
  <si>
    <t>Advanced Structured Materials/14</t>
  </si>
  <si>
    <t>Andreescu</t>
  </si>
  <si>
    <t>Mathematics</t>
  </si>
  <si>
    <t>Structures, Examples, and Problems</t>
  </si>
  <si>
    <t>Azarin</t>
  </si>
  <si>
    <t>Birkhäuser Advanced Texts   Basler Lehrbücher/n/a</t>
  </si>
  <si>
    <t>Bertoluzza</t>
  </si>
  <si>
    <t>Advanced Courses in Mathematics - CRM Barcelona/n/a</t>
  </si>
  <si>
    <t>Biagini</t>
  </si>
  <si>
    <t>Probability and Its Applications/n/a</t>
  </si>
  <si>
    <t>Bonfiglioli</t>
  </si>
  <si>
    <t>Springer Monographs in Mathematics/n/a</t>
  </si>
  <si>
    <t>Bourbaki</t>
  </si>
  <si>
    <t>Chapitres 1à 5</t>
  </si>
  <si>
    <t>Calude</t>
  </si>
  <si>
    <t>An Algorithmic Perspective</t>
  </si>
  <si>
    <t>Canuto</t>
  </si>
  <si>
    <t>Evolution to Complex Geometries and Applications to Fluid Dynamics</t>
  </si>
  <si>
    <t>Scientific Computation/n/a</t>
  </si>
  <si>
    <t>Ciuprina</t>
  </si>
  <si>
    <t>The European Consortium for Mathematics in Industry/11</t>
  </si>
  <si>
    <t>Cordani</t>
  </si>
  <si>
    <t>Investigations of Quasi-Integrable Systems with Analytical, Numerical, and Graphical Tools</t>
  </si>
  <si>
    <t>Progress in Mathematical Physics/64</t>
  </si>
  <si>
    <t>DiBenedetto</t>
  </si>
  <si>
    <t>Universitext/n/a</t>
  </si>
  <si>
    <t>Engel</t>
  </si>
  <si>
    <t>Problem Books in Mathematics/n/a</t>
  </si>
  <si>
    <t>Euler</t>
  </si>
  <si>
    <t>Book II</t>
  </si>
  <si>
    <t>Floudas</t>
  </si>
  <si>
    <t>Foucart</t>
  </si>
  <si>
    <t>Applied and Numerical Harmonic Analysis/n/a</t>
  </si>
  <si>
    <t>Freitag</t>
  </si>
  <si>
    <t>Fu</t>
  </si>
  <si>
    <t>Giaquinta</t>
  </si>
  <si>
    <t>Grundlehren der mathematischen Wissenschaften/310</t>
  </si>
  <si>
    <t>Goodman</t>
  </si>
  <si>
    <t>Graduate Texts in Mathematics/255</t>
  </si>
  <si>
    <t>Grubb</t>
  </si>
  <si>
    <t>Graduate Texts in Mathematics/252</t>
  </si>
  <si>
    <t>Gut</t>
  </si>
  <si>
    <t>Springer Texts in Statistics/n/a</t>
  </si>
  <si>
    <t>Harris</t>
  </si>
  <si>
    <t>Undergraduate Texts in Mathematics/n/a</t>
  </si>
  <si>
    <t>Hauser</t>
  </si>
  <si>
    <t>Mathematics and Visualization/n/a</t>
  </si>
  <si>
    <t>Hoppensteadt</t>
  </si>
  <si>
    <t>Texts in Applied Mathematics/10</t>
  </si>
  <si>
    <t>Huggett</t>
  </si>
  <si>
    <t>Karlovich</t>
  </si>
  <si>
    <t>The Vladimir Rabinovich Anniversary Volume</t>
  </si>
  <si>
    <t>Collection of essays</t>
  </si>
  <si>
    <t>Operator Theory: Advances and Applications/228</t>
  </si>
  <si>
    <t>Kashiwara</t>
  </si>
  <si>
    <t>Progress in Mathematics/160</t>
  </si>
  <si>
    <t>Keener</t>
  </si>
  <si>
    <t>II: Systems Physiology</t>
  </si>
  <si>
    <t>Interdisciplinary Applied Mathematics/8/2</t>
  </si>
  <si>
    <t>Krylov</t>
  </si>
  <si>
    <t>Stochastic Modelling and Applied Probability/14</t>
  </si>
  <si>
    <t>Kuczma</t>
  </si>
  <si>
    <t>Cauchy's Equation and Jensen's Inequality</t>
  </si>
  <si>
    <t>Kythe</t>
  </si>
  <si>
    <t>Manual</t>
  </si>
  <si>
    <t>Lefebvre</t>
  </si>
  <si>
    <t>Springer Undergraduate Texts in Mathematics and Technology/n/a</t>
  </si>
  <si>
    <t>Lipsky</t>
  </si>
  <si>
    <t>A Linear Algebraic Approach</t>
  </si>
  <si>
    <t>Lütkebohmert</t>
  </si>
  <si>
    <t>EAA Series/n/a</t>
  </si>
  <si>
    <t>MacCluer</t>
  </si>
  <si>
    <t>Graduate Texts in Mathematics/253</t>
  </si>
  <si>
    <t>Mansuy</t>
  </si>
  <si>
    <t>Muresan</t>
  </si>
  <si>
    <t>CMS Books in Mathematics/n/a</t>
  </si>
  <si>
    <t>Myasnikov</t>
  </si>
  <si>
    <t>Pach</t>
  </si>
  <si>
    <t>Rasmussen</t>
  </si>
  <si>
    <t>Lecture Notes in Mathematics/1907</t>
  </si>
  <si>
    <t>Roman</t>
  </si>
  <si>
    <t>Rotman</t>
  </si>
  <si>
    <t>Rousseau</t>
  </si>
  <si>
    <t>Scherzer</t>
  </si>
  <si>
    <t>Applied Mathematical Sciences/167</t>
  </si>
  <si>
    <t>Seierstad</t>
  </si>
  <si>
    <t>Soifer</t>
  </si>
  <si>
    <t>Stein</t>
  </si>
  <si>
    <t>A Computational Approach</t>
  </si>
  <si>
    <t>Stichtenoth</t>
  </si>
  <si>
    <t>Graduate Texts in Mathematics/254</t>
  </si>
  <si>
    <t>Stulajter</t>
  </si>
  <si>
    <t>Tucsnak</t>
  </si>
  <si>
    <t>Weintraub</t>
  </si>
  <si>
    <t>Zariski</t>
  </si>
  <si>
    <t>Graduate Texts in Mathematics/29</t>
  </si>
  <si>
    <t>Graduate Texts in Mathematics/28</t>
  </si>
  <si>
    <t>Ali</t>
  </si>
  <si>
    <t>Definitions, Criteria and Explanatory Notes</t>
  </si>
  <si>
    <t>Medicine</t>
  </si>
  <si>
    <t>Berger</t>
  </si>
  <si>
    <t>Assalia</t>
  </si>
  <si>
    <t>Black</t>
  </si>
  <si>
    <t>Bottomley</t>
  </si>
  <si>
    <t>Progress in Inflammation Research/n/a</t>
  </si>
  <si>
    <t>Brady</t>
  </si>
  <si>
    <t>Brain</t>
  </si>
  <si>
    <t>Brown</t>
  </si>
  <si>
    <t>Essentials of Diagnostic Gynecological Pathology/n/a</t>
  </si>
  <si>
    <t>Chang</t>
  </si>
  <si>
    <t>An Evidence-Based Approach</t>
  </si>
  <si>
    <t>Chawla</t>
  </si>
  <si>
    <t>A stepwise approach</t>
  </si>
  <si>
    <t>Galateau-Sallé</t>
  </si>
  <si>
    <t>Gordon</t>
  </si>
  <si>
    <t>An Integrated Approach</t>
  </si>
  <si>
    <t>Kim</t>
  </si>
  <si>
    <t>Atlas</t>
  </si>
  <si>
    <t>Radiology Illustrated/n/a</t>
  </si>
  <si>
    <t>Laghi</t>
  </si>
  <si>
    <t>Whole Body and Emergencies</t>
  </si>
  <si>
    <t>Lazzeri</t>
  </si>
  <si>
    <t>A Pictorial Case-Based Atlas</t>
  </si>
  <si>
    <t>Lenz</t>
  </si>
  <si>
    <t>Prediction and Prognosis</t>
  </si>
  <si>
    <t>Mattsson</t>
  </si>
  <si>
    <t>Meneghini</t>
  </si>
  <si>
    <t>Elements, Principles, and Techniques</t>
  </si>
  <si>
    <t>Meyer</t>
  </si>
  <si>
    <t>Ribes</t>
  </si>
  <si>
    <t>Sousa</t>
  </si>
  <si>
    <t>Methods in Molecular Biology/950</t>
  </si>
  <si>
    <t>Tosti</t>
  </si>
  <si>
    <t>Handling Common and More Uncommon Problems</t>
  </si>
  <si>
    <t>Upchurch Jr.</t>
  </si>
  <si>
    <t>Pathogenesis and Treatment</t>
  </si>
  <si>
    <t>Contemporary Cardiology/n/a</t>
  </si>
  <si>
    <t>Urban</t>
  </si>
  <si>
    <t>Venot</t>
  </si>
  <si>
    <t>Fundamentals and Applications</t>
  </si>
  <si>
    <t>Health Informatics/n/a</t>
  </si>
  <si>
    <t>Wickramasinghe</t>
  </si>
  <si>
    <t>Healthcare Delivery in the Information Age/n/a</t>
  </si>
  <si>
    <t>del Cura</t>
  </si>
  <si>
    <t>Learning Imaging/n/a</t>
  </si>
  <si>
    <t>von Eckardstein</t>
  </si>
  <si>
    <t>Handbook of Experimental Pharmacology/170</t>
  </si>
  <si>
    <t>Kühler</t>
  </si>
  <si>
    <t>Philosophy</t>
  </si>
  <si>
    <t>Philosophical Studies Series/118</t>
  </si>
  <si>
    <t>Maris</t>
  </si>
  <si>
    <t>A Historical Introduction to Legal Philosophy</t>
  </si>
  <si>
    <t>Law and Philosophy Library/94</t>
  </si>
  <si>
    <t>Woermann</t>
  </si>
  <si>
    <t>Critical Complexity, Deconstruction, and Implications for Understanding the Ethics of Business</t>
  </si>
  <si>
    <t>Issues in Business Ethics/37</t>
  </si>
  <si>
    <t>Aarseth</t>
  </si>
  <si>
    <t>Physics</t>
  </si>
  <si>
    <t>Lecture Notes in Physics/760</t>
  </si>
  <si>
    <t>Auerbach</t>
  </si>
  <si>
    <t>Graduate Texts in Contemporary Physics/n/a</t>
  </si>
  <si>
    <t>Bjarklev</t>
  </si>
  <si>
    <t>Borsali</t>
  </si>
  <si>
    <t>Burkhardt</t>
  </si>
  <si>
    <t>Cini</t>
  </si>
  <si>
    <t>From Basic Quantum Mechanics to the Frontiers of Research</t>
  </si>
  <si>
    <t>Dhanaraj</t>
  </si>
  <si>
    <t>Dittrich</t>
  </si>
  <si>
    <t>From Classical Paths to Path Integrals</t>
  </si>
  <si>
    <t>Graduate Texts in Physics/n/a</t>
  </si>
  <si>
    <t>Drake</t>
  </si>
  <si>
    <t>Fremond</t>
  </si>
  <si>
    <t>Glaser</t>
  </si>
  <si>
    <t>Glendenning</t>
  </si>
  <si>
    <t>With Applications to White Dwarfs, Neutron Stars and Black Holes</t>
  </si>
  <si>
    <t>Greiner</t>
  </si>
  <si>
    <t>Hillebrands</t>
  </si>
  <si>
    <t>Topics in Applied Physics/101</t>
  </si>
  <si>
    <t>Hunsperger</t>
  </si>
  <si>
    <t>Theory and Technology</t>
  </si>
  <si>
    <t>Ishiguro</t>
  </si>
  <si>
    <t>Springer Series in Solid-State Sciences/88</t>
  </si>
  <si>
    <t>Ivancevic</t>
  </si>
  <si>
    <t>Chaos, Phase Transitions, Topology Change and Path Integrals</t>
  </si>
  <si>
    <t>Understanding Complex Systems/n/a</t>
  </si>
  <si>
    <t>Kamal</t>
  </si>
  <si>
    <t>Köbler</t>
  </si>
  <si>
    <t>Impact on Experimental Magnetism</t>
  </si>
  <si>
    <t>Springer Series in Materials Science/127</t>
  </si>
  <si>
    <t>Ludwig</t>
  </si>
  <si>
    <t>Majumdar</t>
  </si>
  <si>
    <t>Springer Series in Materials Science/161</t>
  </si>
  <si>
    <t>Martienssen</t>
  </si>
  <si>
    <t>Mauri</t>
  </si>
  <si>
    <t>Soft and Biological Matter/n/a</t>
  </si>
  <si>
    <t>Meyers</t>
  </si>
  <si>
    <t>Nath</t>
  </si>
  <si>
    <t>Astronomers' Universe/n/a</t>
  </si>
  <si>
    <t>Nettel</t>
  </si>
  <si>
    <t>Oscillations - Solitons - Chaos</t>
  </si>
  <si>
    <t>Nolting</t>
  </si>
  <si>
    <t>Principles and Methods</t>
  </si>
  <si>
    <t>Pavesi</t>
  </si>
  <si>
    <t>The Silicon Approach</t>
  </si>
  <si>
    <t>Springer Series in Optical Sciences/119</t>
  </si>
  <si>
    <t>Pozrikidis</t>
  </si>
  <si>
    <t>Theory, Computation, and Numerical Simulation</t>
  </si>
  <si>
    <t>Rabus</t>
  </si>
  <si>
    <t>The Compendium</t>
  </si>
  <si>
    <t>Springer Series in Optical Sciences/127</t>
  </si>
  <si>
    <t>Radi</t>
  </si>
  <si>
    <t>For Scientists and Engineers</t>
  </si>
  <si>
    <t>Undergraduate Lecture Notes in Physics/n/a</t>
  </si>
  <si>
    <t>Sagawa</t>
  </si>
  <si>
    <t>Ph.D. thesis</t>
  </si>
  <si>
    <t>Springer Theses/n/a</t>
  </si>
  <si>
    <t>Singh</t>
  </si>
  <si>
    <t>Springer Series in Materials Science/54</t>
  </si>
  <si>
    <t>Strauch</t>
  </si>
  <si>
    <t>Tarantola</t>
  </si>
  <si>
    <t>Quantities, Qualities, and Intrinsic Theories</t>
  </si>
  <si>
    <t>Webber, Jr.</t>
  </si>
  <si>
    <t>Theory and Best Practices</t>
  </si>
  <si>
    <t>Meuleman</t>
  </si>
  <si>
    <t>Advancing Sustainability Governance</t>
  </si>
  <si>
    <t>Political Science and International Relations</t>
  </si>
  <si>
    <t>Poblet</t>
  </si>
  <si>
    <t>Online Dispute Resolution, Governance, Participation</t>
  </si>
  <si>
    <t>Law, Governance and Technology Series/2</t>
  </si>
  <si>
    <t>Provost</t>
  </si>
  <si>
    <t>Ius Gentium: Comparative Perspectives on Law and Justice/7</t>
  </si>
  <si>
    <t>Adams</t>
  </si>
  <si>
    <t>Addiction in a Social World</t>
  </si>
  <si>
    <t>Psychology</t>
  </si>
  <si>
    <t>Draper</t>
  </si>
  <si>
    <t>Practical Applications to Behavioral Disorders</t>
  </si>
  <si>
    <t>Marsella</t>
  </si>
  <si>
    <t>Foundations, Issues, and Applications</t>
  </si>
  <si>
    <t>International and Cultural Psychology/n/a</t>
  </si>
  <si>
    <t>Schwartz</t>
  </si>
  <si>
    <t>Volkmar</t>
  </si>
  <si>
    <t>Marranci</t>
  </si>
  <si>
    <t>Muslims in Global Societies Series/1</t>
  </si>
  <si>
    <t>Runehov</t>
  </si>
  <si>
    <t>Body-Gendrot</t>
  </si>
  <si>
    <t>Historical and Contemporary Perspectives</t>
  </si>
  <si>
    <t>Social Sciences</t>
  </si>
  <si>
    <t>Brauch</t>
  </si>
  <si>
    <t>Reconceptualizing Security in the 21st Century</t>
  </si>
  <si>
    <t>Hexagon Series on Human and Environmental Security and Peace/3</t>
  </si>
  <si>
    <t>Brondízio</t>
  </si>
  <si>
    <t>Current and Future Directions</t>
  </si>
  <si>
    <t>Human-Environment Interactions/1</t>
  </si>
  <si>
    <t>Bruyas</t>
  </si>
  <si>
    <t>A Science Communication Handbook</t>
  </si>
  <si>
    <t>Buscema</t>
  </si>
  <si>
    <t>New Neural Networks Applied to Real Problems</t>
  </si>
  <si>
    <t>Hallinan</t>
  </si>
  <si>
    <t>Frontiers in Sociology and Social Research/1</t>
  </si>
  <si>
    <t>Hamby</t>
  </si>
  <si>
    <t>Exploring Connections Among Different Forms of Interpersonal Violence and Abuse</t>
  </si>
  <si>
    <t>SpringerBriefs in Sociology/n/a</t>
  </si>
  <si>
    <t>Hartjen</t>
  </si>
  <si>
    <t>Problems and Solutions</t>
  </si>
  <si>
    <t>Höhn</t>
  </si>
  <si>
    <t>Lessons from the Population Policy Acceptance Study Vol. 1: Family Change</t>
  </si>
  <si>
    <t>European Studies of Population/16/1</t>
  </si>
  <si>
    <t>Immerfall</t>
  </si>
  <si>
    <t>Social Transformations in the 21st Century</t>
  </si>
  <si>
    <t>Liem</t>
  </si>
  <si>
    <t>Patterns, Explanations, and Country Studies</t>
  </si>
  <si>
    <t>Milisauskas</t>
  </si>
  <si>
    <t>A Survey</t>
  </si>
  <si>
    <t>Interdisciplinary Contributions to Archaeology/n/a</t>
  </si>
  <si>
    <t>Mytum</t>
  </si>
  <si>
    <t>Archaeology, Memory, and Heritage of 19th- and 20th-Century Mass Internment</t>
  </si>
  <si>
    <t>Contributions To Global Historical Archaeology/n/a</t>
  </si>
  <si>
    <t>Nowak</t>
  </si>
  <si>
    <t>From Mind to Societies</t>
  </si>
  <si>
    <t>Pajo</t>
  </si>
  <si>
    <t>An Ethnography of Socioglobal Mobility</t>
  </si>
  <si>
    <t>Phellas</t>
  </si>
  <si>
    <t>Healthy Aging in Europe</t>
  </si>
  <si>
    <t>International Perspectives on Aging/6</t>
  </si>
  <si>
    <t>Piquero</t>
  </si>
  <si>
    <t>Ranci</t>
  </si>
  <si>
    <t>Investigating Institutional Change and Social Impacts</t>
  </si>
  <si>
    <t>Rockman</t>
  </si>
  <si>
    <t>Its Relevance in the Modern World</t>
  </si>
  <si>
    <t>Settersten, Jr.</t>
  </si>
  <si>
    <t>Handbooks of Sociology and Social Research/n/a</t>
  </si>
  <si>
    <t>Thissen</t>
  </si>
  <si>
    <t>New Developments</t>
  </si>
  <si>
    <t>International Series in Operations Research &amp; Management Science/179</t>
  </si>
  <si>
    <t>A guide to a new interdisciplinary field</t>
  </si>
  <si>
    <t>Wiseman</t>
  </si>
  <si>
    <t>Bühlmann</t>
  </si>
  <si>
    <t>Methods, Theory and Applications</t>
  </si>
  <si>
    <t>Statistics</t>
  </si>
  <si>
    <t>Dodge</t>
  </si>
  <si>
    <t>Drton</t>
  </si>
  <si>
    <t>Oberwolfach Seminars/39</t>
  </si>
  <si>
    <t>Liski</t>
  </si>
  <si>
    <t>Lecture Notes in Statistics/163</t>
  </si>
  <si>
    <t>Springer</t>
  </si>
  <si>
    <t>EUR</t>
  </si>
  <si>
    <t>Fraser C.</t>
  </si>
  <si>
    <t>Business Statistics for Competetive Advantage with Excel 2007</t>
  </si>
  <si>
    <t>Felipe Linares</t>
  </si>
  <si>
    <t>Introduction to Nonlinear Dispersive Equations</t>
  </si>
  <si>
    <t>Harrell</t>
  </si>
  <si>
    <t>Regression Modeling Strategies</t>
  </si>
  <si>
    <t>Humana Press</t>
  </si>
  <si>
    <t>Sudhir Agrawal</t>
  </si>
  <si>
    <t>Antisense Therapeutics</t>
  </si>
  <si>
    <t>Yoon</t>
  </si>
  <si>
    <t>Introduction to Biosensors</t>
  </si>
  <si>
    <t>Achim Klenke</t>
  </si>
  <si>
    <t>Probability Theory: A Comprehensive Course</t>
  </si>
  <si>
    <t>Blundell B.G.</t>
  </si>
  <si>
    <t>An Introduction to Computer Graphics and Creative 3-D Environments</t>
  </si>
  <si>
    <t>Jörg T. Epplen</t>
  </si>
  <si>
    <t>A Laboratory Guide to DNA Fingerprinting/Profiling (Methods and Tools in Biosciences and Medicine)</t>
  </si>
  <si>
    <t>Birkhauser Verlag</t>
  </si>
  <si>
    <t>Hardback</t>
  </si>
  <si>
    <t>Helmar Bergmann</t>
  </si>
  <si>
    <t>Radioactive Isotopes in Clinical Medicine and Research Xxiii</t>
  </si>
  <si>
    <t>Ernst Jucker</t>
  </si>
  <si>
    <t>Progress in Drug Research</t>
  </si>
  <si>
    <t>Jeremy D. Pearson</t>
  </si>
  <si>
    <t>Vascular Adhesion Molecules and Inflammation</t>
  </si>
  <si>
    <t>Jens-Michael Schröder</t>
  </si>
  <si>
    <t>Fatty Acids and Inflammatory Skin Diseases</t>
  </si>
  <si>
    <t>D. A. Willoughby</t>
  </si>
  <si>
    <t>Inducible Enzymes in the Inflammatory Response</t>
  </si>
  <si>
    <t>Mang W. L.</t>
  </si>
  <si>
    <t>Manual of Aesthetic Surgery 2: Breast Augmentation, Brachioplasty, Abdominoplasty</t>
  </si>
  <si>
    <t>Matissek</t>
  </si>
  <si>
    <t>Lebensmittelanalytik</t>
  </si>
  <si>
    <t>Forstner</t>
  </si>
  <si>
    <t>Ingenieurgeochemie</t>
  </si>
  <si>
    <t>Frede W.</t>
  </si>
  <si>
    <t>Paperback</t>
  </si>
  <si>
    <t>Loukas Grafakos</t>
  </si>
  <si>
    <t>Modern Fourier Analysis</t>
  </si>
  <si>
    <t>Rossing</t>
  </si>
  <si>
    <t>Springer Handbook of Acoustics + CD ROM</t>
  </si>
  <si>
    <t>Gooch J.</t>
  </si>
  <si>
    <t>Ari Sitaramayya</t>
  </si>
  <si>
    <t>Introduction to Cellular Signal Transduction</t>
  </si>
  <si>
    <t>Ian R. Petersen</t>
  </si>
  <si>
    <t>Robust Kalman Filtering for Signals and Systems with Large Uncertainties</t>
  </si>
  <si>
    <t>Horst</t>
  </si>
  <si>
    <t>Klawonn F.</t>
  </si>
  <si>
    <t>Introduction to Computer Graphics</t>
  </si>
  <si>
    <t>Chen H.</t>
  </si>
  <si>
    <t>Illustrative Handbook of General Surgery</t>
  </si>
  <si>
    <t>Helms</t>
  </si>
  <si>
    <t>Potential Theory</t>
  </si>
  <si>
    <t>Vince J.</t>
  </si>
  <si>
    <t>Mathematics for Computer Graphics</t>
  </si>
  <si>
    <t>Peter Beighton</t>
  </si>
  <si>
    <t>M. Ben-Ari</t>
  </si>
  <si>
    <t>Mathematical Logic for Computer Science</t>
  </si>
  <si>
    <t>Perneczky A.</t>
  </si>
  <si>
    <t>Keyhole Approaches in Neurosurgery</t>
  </si>
  <si>
    <t>Tietze U.</t>
  </si>
  <si>
    <t>Electronic Circuit: Handbook for Design and Applications</t>
  </si>
  <si>
    <t>Johannes Czernin</t>
  </si>
  <si>
    <t>Atlas of PET/CT imaging in oncology</t>
  </si>
  <si>
    <t>David J. Goldberg</t>
  </si>
  <si>
    <t>Laser Dermatology</t>
  </si>
  <si>
    <t>Richards J.</t>
  </si>
  <si>
    <t>Remote Sensing Digital Image Analysis</t>
  </si>
  <si>
    <t>Erwin Kuntz</t>
  </si>
  <si>
    <t>Hepatology, Principles and Practice</t>
  </si>
  <si>
    <t>Cornel Stan</t>
  </si>
  <si>
    <t>Direkteinspritzsysteme für Otto- und Dieselmotoren</t>
  </si>
  <si>
    <t>Wolters J.</t>
  </si>
  <si>
    <t>Introduction to Modern Time Series Analysis</t>
  </si>
  <si>
    <t>Claudius Gros</t>
  </si>
  <si>
    <t>Complex and Adaptive Dynamical Systems</t>
  </si>
  <si>
    <t>Scott M. Jackson</t>
  </si>
  <si>
    <t>Differential Diagnosis for the Dermatologist</t>
  </si>
  <si>
    <t>Dutta</t>
  </si>
  <si>
    <t>Fundamentals of Biochemical Engineering</t>
  </si>
  <si>
    <t>Ferraro P.</t>
  </si>
  <si>
    <t>Ferroelectric Crystals for Photonic Applications</t>
  </si>
  <si>
    <t>Deza M.M.</t>
  </si>
  <si>
    <t>Encyclopedia of Distances</t>
  </si>
  <si>
    <t>Hans Petter Langtangen</t>
  </si>
  <si>
    <t>A Primer on Scientific Programming with Python</t>
  </si>
  <si>
    <t>Yu L.</t>
  </si>
  <si>
    <t>A Developer’s Guide to the Semantic Web</t>
  </si>
  <si>
    <t>Anthony P. Sampson</t>
  </si>
  <si>
    <t>Anti-Inflammatory Drugs in Asthma</t>
  </si>
  <si>
    <t>Alfio Quarteroni</t>
  </si>
  <si>
    <t>Numerical Models for Differential Problems</t>
  </si>
  <si>
    <t>Robin E. Bentley</t>
  </si>
  <si>
    <t>Rok</t>
  </si>
  <si>
    <t>Vydavateľstvo</t>
  </si>
  <si>
    <t>3rd Edition</t>
  </si>
  <si>
    <t xml:space="preserve">Advances in Pharmacological Sciences </t>
  </si>
  <si>
    <t>Pharmacology</t>
  </si>
  <si>
    <t>Surgery</t>
  </si>
  <si>
    <t>Graphics</t>
  </si>
  <si>
    <t>Genetics</t>
  </si>
  <si>
    <t>Graduate Texts in Mathematics</t>
  </si>
  <si>
    <t>2nd Edition</t>
  </si>
  <si>
    <t>Mathematical Analysis</t>
  </si>
  <si>
    <t>Multimedia Item</t>
  </si>
  <si>
    <t>Sound and Acoustics</t>
  </si>
  <si>
    <t>Encyclopedic Dictionary of Polymers, 2 Volume Set</t>
  </si>
  <si>
    <t>Textiles and Polymers</t>
  </si>
  <si>
    <t>Econometrics</t>
  </si>
  <si>
    <t>Differential Equations</t>
  </si>
  <si>
    <t xml:space="preserve">Springer Series in Statistics </t>
  </si>
  <si>
    <t>Hormones in Health and Disease</t>
  </si>
  <si>
    <t>Cytology</t>
  </si>
  <si>
    <t>Control Engineering</t>
  </si>
  <si>
    <t>Electricity</t>
  </si>
  <si>
    <t>Westcotts Plant Disease Handbook</t>
  </si>
  <si>
    <t>7th Edition</t>
  </si>
  <si>
    <t>Botany</t>
  </si>
  <si>
    <t>Nanotechnology</t>
  </si>
  <si>
    <t xml:space="preserve">Undergraduate Topics in Computer Science </t>
  </si>
  <si>
    <t>Dermatology</t>
  </si>
  <si>
    <t>Hypermobility of Joints</t>
  </si>
  <si>
    <t>Orthopedics</t>
  </si>
  <si>
    <t>Logic</t>
  </si>
  <si>
    <t>Neurology</t>
  </si>
  <si>
    <t>Concept and Surgical Technique, Volume 1</t>
  </si>
  <si>
    <t>Diagnostic Imaging</t>
  </si>
  <si>
    <t>4th Edition</t>
  </si>
  <si>
    <t>Geophysics</t>
  </si>
  <si>
    <t>Handbuch für Lebensmittelchemiker</t>
  </si>
  <si>
    <t>Food Science</t>
  </si>
  <si>
    <t>Gastroenterology</t>
  </si>
  <si>
    <t>History, Morphology, Biochemistry, Diagnostics, Clinic, Therapy</t>
  </si>
  <si>
    <t>Geochemistry</t>
  </si>
  <si>
    <t>Analytic Chemistry</t>
  </si>
  <si>
    <t>Plastic Surgery</t>
  </si>
  <si>
    <t xml:space="preserve">Springer Complexity </t>
  </si>
  <si>
    <t>System Theory</t>
  </si>
  <si>
    <t>Biotechnology</t>
  </si>
  <si>
    <t xml:space="preserve">Springer Series in Materials Science </t>
  </si>
  <si>
    <t>Magnetism</t>
  </si>
  <si>
    <t>Applied Mathematics</t>
  </si>
  <si>
    <t xml:space="preserve">Texts in Computational Science and Engineering </t>
  </si>
  <si>
    <t xml:space="preserve">Programming Languages </t>
  </si>
  <si>
    <t>Information Technology</t>
  </si>
  <si>
    <t>Cardiology</t>
  </si>
  <si>
    <t xml:space="preserve">Progress in Inflammation Research </t>
  </si>
  <si>
    <t>Diseases</t>
  </si>
  <si>
    <t>Handbook of Temperature Measurement, 3 Volume Set</t>
  </si>
  <si>
    <t>Thermodynamics</t>
  </si>
  <si>
    <t>5th Edition</t>
  </si>
  <si>
    <t>6th Edition</t>
  </si>
  <si>
    <t>Neurosciences</t>
  </si>
  <si>
    <t>Electrochemistry</t>
  </si>
  <si>
    <t>Catalysis</t>
  </si>
  <si>
    <t>Planetology</t>
  </si>
  <si>
    <t>Hydrogeology</t>
  </si>
  <si>
    <t>Radiotherapy</t>
  </si>
  <si>
    <t>Bioinformatics</t>
  </si>
  <si>
    <t>Entomology</t>
  </si>
  <si>
    <t>Control</t>
  </si>
  <si>
    <t>Visualization</t>
  </si>
  <si>
    <t>Geometry</t>
  </si>
  <si>
    <t>Optimization</t>
  </si>
  <si>
    <t>Mechanics</t>
  </si>
  <si>
    <t>Acoustics</t>
  </si>
  <si>
    <t>Semiconductors</t>
  </si>
  <si>
    <t>Biomaterials</t>
  </si>
  <si>
    <t>Energy (general)</t>
  </si>
  <si>
    <t>Renewable and Green Energy</t>
  </si>
  <si>
    <t>Energy Efficiency (incl. Buildings)</t>
  </si>
  <si>
    <t>Religious Studies, general</t>
  </si>
  <si>
    <t>Regional and Cultural Studies</t>
  </si>
  <si>
    <t>Cultural Heritage</t>
  </si>
  <si>
    <t xml:space="preserve"> Business and Management, general</t>
  </si>
  <si>
    <t xml:space="preserve"> Management</t>
  </si>
  <si>
    <t xml:space="preserve"> Business Strategy/Leadership</t>
  </si>
  <si>
    <t xml:space="preserve"> Marketing</t>
  </si>
  <si>
    <t xml:space="preserve"> Organization</t>
  </si>
  <si>
    <t xml:space="preserve"> Finance, general</t>
  </si>
  <si>
    <t xml:space="preserve"> Innovation/Technology Management</t>
  </si>
  <si>
    <t xml:space="preserve"> IT in Business</t>
  </si>
  <si>
    <t xml:space="preserve"> Business Ethics</t>
  </si>
  <si>
    <t xml:space="preserve"> Operations Management</t>
  </si>
  <si>
    <t xml:space="preserve"> Political Science</t>
  </si>
  <si>
    <t xml:space="preserve"> Science (general)</t>
  </si>
  <si>
    <t xml:space="preserve"> Social Sciences (general)</t>
  </si>
  <si>
    <t xml:space="preserve"> Aging</t>
  </si>
  <si>
    <t xml:space="preserve"> Anthropology</t>
  </si>
  <si>
    <t xml:space="preserve"> Archaeology</t>
  </si>
  <si>
    <t xml:space="preserve"> Criminology &amp; Criminal Justice</t>
  </si>
  <si>
    <t xml:space="preserve"> Sociology, general</t>
  </si>
  <si>
    <t xml:space="preserve"> Cultural Management</t>
  </si>
  <si>
    <t xml:space="preserve"> Demography</t>
  </si>
  <si>
    <t xml:space="preserve"> Immunology</t>
  </si>
  <si>
    <t xml:space="preserve"> Migration</t>
  </si>
  <si>
    <t xml:space="preserve"> Molecular Medicine</t>
  </si>
  <si>
    <t xml:space="preserve"> Methodology of the Social Sciences</t>
  </si>
  <si>
    <t xml:space="preserve"> Family</t>
  </si>
  <si>
    <t xml:space="preserve"> Pharmacology / Toxicology</t>
  </si>
  <si>
    <t xml:space="preserve"> Biomedicine (general)</t>
  </si>
  <si>
    <t xml:space="preserve"> Organic Chemistry</t>
  </si>
  <si>
    <t xml:space="preserve"> Theoretical and Computational Chemistry</t>
  </si>
  <si>
    <t xml:space="preserve"> Industrial Chemistry / Chemical Engineering</t>
  </si>
  <si>
    <t xml:space="preserve"> Ethics</t>
  </si>
  <si>
    <t xml:space="preserve"> Philosophy of Law</t>
  </si>
  <si>
    <t xml:space="preserve"> Geology</t>
  </si>
  <si>
    <t xml:space="preserve"> Mineralogy</t>
  </si>
  <si>
    <t xml:space="preserve"> Sedimentology</t>
  </si>
  <si>
    <t xml:space="preserve"> Environmental Science and Engineering</t>
  </si>
  <si>
    <t xml:space="preserve"> Geotechnical Engineering &amp; Applied Earth Sciences</t>
  </si>
  <si>
    <t xml:space="preserve"> Medicine (general)</t>
  </si>
  <si>
    <t xml:space="preserve"> Cardiology</t>
  </si>
  <si>
    <t xml:space="preserve"> Plastic Surgery</t>
  </si>
  <si>
    <t xml:space="preserve"> Dermatology</t>
  </si>
  <si>
    <t xml:space="preserve"> Intensive / Critical Care Medicine</t>
  </si>
  <si>
    <t xml:space="preserve"> Nuclear Medicine</t>
  </si>
  <si>
    <t xml:space="preserve"> Ultrasound</t>
  </si>
  <si>
    <t xml:space="preserve"> Computer System Implementation</t>
  </si>
  <si>
    <t xml:space="preserve"> Mathematics of Computing</t>
  </si>
  <si>
    <t xml:space="preserve"> Mathematical Applications in Computer Science</t>
  </si>
  <si>
    <t xml:space="preserve"> User Interfaces and Human Computer Interaction</t>
  </si>
  <si>
    <t xml:space="preserve"> Artificial Intelligence (incl. Robotics)</t>
  </si>
  <si>
    <t xml:space="preserve"> Computer Engineering</t>
  </si>
  <si>
    <t xml:space="preserve"> Software Engineering / Programming and Operating Systems</t>
  </si>
  <si>
    <t xml:space="preserve"> Programming Techniques</t>
  </si>
  <si>
    <t xml:space="preserve"> Software Engineering</t>
  </si>
  <si>
    <t xml:space="preserve"> Systems and Data Security</t>
  </si>
  <si>
    <t xml:space="preserve"> Coding and Information Theory</t>
  </si>
  <si>
    <t xml:space="preserve"> Information Systems Applications (incl.Internet)</t>
  </si>
  <si>
    <t xml:space="preserve"> Language Translation and Linguistics</t>
  </si>
  <si>
    <t xml:space="preserve"> Pattern Recognition</t>
  </si>
  <si>
    <t xml:space="preserve"> Life Sciences (general)</t>
  </si>
  <si>
    <t xml:space="preserve"> Biochemistry</t>
  </si>
  <si>
    <t xml:space="preserve"> Microbiology</t>
  </si>
  <si>
    <t xml:space="preserve"> Plant Sciences</t>
  </si>
  <si>
    <t xml:space="preserve"> Plant Breeding / Biotechnology</t>
  </si>
  <si>
    <t xml:space="preserve"> Group Theory and Generalizations</t>
  </si>
  <si>
    <t xml:space="preserve"> Analysis</t>
  </si>
  <si>
    <t xml:space="preserve"> Real Functions</t>
  </si>
  <si>
    <t xml:space="preserve"> Systems Theory, Control</t>
  </si>
  <si>
    <t xml:space="preserve"> Ordinary Differential Equations</t>
  </si>
  <si>
    <t xml:space="preserve"> Order, Lattices, Ordered Algebraic Structures</t>
  </si>
  <si>
    <t xml:space="preserve"> Computational Science and Engineering</t>
  </si>
  <si>
    <t xml:space="preserve"> Numerical Analysis</t>
  </si>
  <si>
    <t xml:space="preserve"> Mathematical Modeling and Industrial Mathematics</t>
  </si>
  <si>
    <t xml:space="preserve"> Mathematical Logic and Foundations</t>
  </si>
  <si>
    <t xml:space="preserve"> Operations Research, Mathematical Programming</t>
  </si>
  <si>
    <t xml:space="preserve"> Religion and Education</t>
  </si>
  <si>
    <t xml:space="preserve"> Classical and Quantum Gravitation, Relativity Theory</t>
  </si>
  <si>
    <t xml:space="preserve"> Biophysics and Biological Physics</t>
  </si>
  <si>
    <t xml:space="preserve"> Quantum Information Technology, Spintronics</t>
  </si>
  <si>
    <t xml:space="preserve"> Classical Continuum Physics</t>
  </si>
  <si>
    <t xml:space="preserve"> Science Education</t>
  </si>
  <si>
    <t xml:space="preserve"> Atomic, Molecular, Optical and Plasma Physics</t>
  </si>
  <si>
    <t xml:space="preserve"> Strongly Correlated Systems, Superconductivity</t>
  </si>
  <si>
    <t xml:space="preserve"> Private International Law, International &amp; Foreign Law, Comparative Law</t>
  </si>
  <si>
    <t xml:space="preserve"> Statistics (general)</t>
  </si>
  <si>
    <t xml:space="preserve"> Engineering (general)</t>
  </si>
  <si>
    <t xml:space="preserve"> Computational Intelligence</t>
  </si>
  <si>
    <t xml:space="preserve"> Engineering Thermodynamics, Heat and Mass Transfer</t>
  </si>
  <si>
    <t xml:space="preserve"> Operating Procedures, Materials Treatment</t>
  </si>
  <si>
    <t xml:space="preserve"> Civil Engineering</t>
  </si>
  <si>
    <t xml:space="preserve"> Communications Engineering, Networks</t>
  </si>
  <si>
    <t xml:space="preserve"> Signal, Image and Speech Processing</t>
  </si>
  <si>
    <t xml:space="preserve"> Circuits and Systems</t>
  </si>
  <si>
    <t xml:space="preserve"> Nuclear Engineering</t>
  </si>
  <si>
    <t xml:space="preserve"> Mechanical Engineering</t>
  </si>
  <si>
    <t xml:space="preserve"> Engineering Design</t>
  </si>
  <si>
    <t xml:space="preserve"> Energy Technology</t>
  </si>
  <si>
    <t xml:space="preserve"> Continuum Mechanics and Mechanics of Materials</t>
  </si>
  <si>
    <t xml:space="preserve"> Monitoring / Environmental Analysis</t>
  </si>
  <si>
    <t xml:space="preserve"> Sustainable Development</t>
  </si>
  <si>
    <t xml:space="preserve"> Social Policy, Public Economics</t>
  </si>
  <si>
    <t xml:space="preserve"> Environmental Economics</t>
  </si>
  <si>
    <t xml:space="preserve"> Regional/Spatial Science</t>
  </si>
  <si>
    <t xml:space="preserve"> Nanotechnology</t>
  </si>
  <si>
    <t xml:space="preserve"> Characterization and Evaluation of Materials</t>
  </si>
  <si>
    <t xml:space="preserve"> Child and School Psychology</t>
  </si>
  <si>
    <t>Surfaces and Interfaces, Thin Films</t>
  </si>
  <si>
    <t>Ceramics, Glass, Composites, Natural Materials</t>
  </si>
  <si>
    <t>Tribology, Corrosion and Coatings</t>
  </si>
  <si>
    <t xml:space="preserve"> Materials Science (general)</t>
  </si>
  <si>
    <t xml:space="preserve"> Structural Materials</t>
  </si>
  <si>
    <t xml:space="preserve"> Optical and Electronic Materials</t>
  </si>
  <si>
    <t>Cross Cultural Psychology</t>
  </si>
  <si>
    <t>Personality and Social Psychology</t>
  </si>
  <si>
    <t>Health Psychology</t>
  </si>
  <si>
    <t xml:space="preserve"> Economics, general </t>
  </si>
  <si>
    <t xml:space="preserve"> Economic Theory/Quantitative Economics/Mathematical Methods</t>
  </si>
  <si>
    <t xml:space="preserve"> Macroeconomics/Monetary Economics//Financial Economics</t>
  </si>
  <si>
    <t xml:space="preserve"> International Economics </t>
  </si>
  <si>
    <t xml:space="preserve"> Environmental Chemistry</t>
  </si>
  <si>
    <t xml:space="preserve"> Soil Science &amp; Conservation</t>
  </si>
  <si>
    <t xml:space="preserve"> Environmental Engineering / Biotechnology</t>
  </si>
  <si>
    <t xml:space="preserve"> Environment (general)</t>
  </si>
  <si>
    <t xml:space="preserve"> Biomedical Engineering</t>
  </si>
  <si>
    <t xml:space="preserve"> Renewable and Green Energy</t>
  </si>
  <si>
    <t xml:space="preserve"> Electronics and Microelectronics, Instrumentation</t>
  </si>
  <si>
    <t>Facility Management</t>
  </si>
  <si>
    <t>Quality Control, Reliability, Safety and Risk</t>
  </si>
  <si>
    <t>Robotics and Automation</t>
  </si>
  <si>
    <t>Control , Robotics, Mechatronics</t>
  </si>
  <si>
    <t>Nanotechnology and Microengineering</t>
  </si>
  <si>
    <t xml:space="preserve"> Automotive Engineering</t>
  </si>
  <si>
    <t xml:space="preserve"> Engineering Fluid Dynamics</t>
  </si>
  <si>
    <t>Vibration, Dynamical Systems, Control</t>
  </si>
  <si>
    <t>Theoretical and Applied Mechanics</t>
  </si>
  <si>
    <t>Appl. Mathematics / Computational Methods of Engineering</t>
  </si>
  <si>
    <t>Statistical Theory and Methods</t>
  </si>
  <si>
    <t>European Law</t>
  </si>
  <si>
    <t>International IT and Media Law, Intellectual Property Law</t>
  </si>
  <si>
    <t>Human Rights</t>
  </si>
  <si>
    <t>Public International Law</t>
  </si>
  <si>
    <t>Theories of Law, Philosophy of Law, Legal History</t>
  </si>
  <si>
    <t>Nonlinear Dynamics</t>
  </si>
  <si>
    <t>Statistical Physics, Dynamical Systems and Complexity</t>
  </si>
  <si>
    <t>Applied Optics, Optoelectronics, Optical Devices</t>
  </si>
  <si>
    <t>Laser Technology and Physics, Photonics</t>
  </si>
  <si>
    <t xml:space="preserve"> Magnetism, Magnetic Materials</t>
  </si>
  <si>
    <t>Soft and Granular Matter, Complex Fluids and Microfluidics</t>
  </si>
  <si>
    <t>Solid State Physics</t>
  </si>
  <si>
    <t>Condensed Matter Physics</t>
  </si>
  <si>
    <t>Particle and Nuclear Physics</t>
  </si>
  <si>
    <t>Astrophysics and Astroparticles</t>
  </si>
  <si>
    <t>Astronomy, Astrophysics and Cosmology</t>
  </si>
  <si>
    <t>Quantum Physics</t>
  </si>
  <si>
    <t>Mathematical Methods in Physics</t>
  </si>
  <si>
    <t>Physics (general)</t>
  </si>
  <si>
    <t>Higher Education</t>
  </si>
  <si>
    <t>Professional and Vocational Education</t>
  </si>
  <si>
    <t>Sociology of Education</t>
  </si>
  <si>
    <t>Language Education</t>
  </si>
  <si>
    <t>Educational Technology</t>
  </si>
  <si>
    <t>Education (general)</t>
  </si>
  <si>
    <t>Mathematical Physics</t>
  </si>
  <si>
    <t>Mathematical and Computational Biology</t>
  </si>
  <si>
    <t>Discrete Mathematics</t>
  </si>
  <si>
    <t xml:space="preserve"> Topology</t>
  </si>
  <si>
    <t xml:space="preserve"> Probability Theory and Stochastic Processes</t>
  </si>
  <si>
    <t>Calculus of Variations and Optimal Control; Optimization</t>
  </si>
  <si>
    <t>Number Theory</t>
  </si>
  <si>
    <t xml:space="preserve"> Actuarial Sciences</t>
  </si>
  <si>
    <t xml:space="preserve"> Quantitative Finance</t>
  </si>
  <si>
    <t xml:space="preserve"> Potential Theory</t>
  </si>
  <si>
    <t xml:space="preserve"> Partial Differential Equations</t>
  </si>
  <si>
    <t xml:space="preserve"> Functional Analysis</t>
  </si>
  <si>
    <t>Several Complex Variables and Analytic Spaces</t>
  </si>
  <si>
    <t>Applications of Mathematics</t>
  </si>
  <si>
    <t>Field Theory and Polynomials</t>
  </si>
  <si>
    <t>Category Theory, Homological Algebra</t>
  </si>
  <si>
    <t xml:space="preserve"> Algebra</t>
  </si>
  <si>
    <t>Mathematics (general)</t>
  </si>
  <si>
    <t>Animal Genetics and Genomics</t>
  </si>
  <si>
    <t>Plant Genetics and Genomics</t>
  </si>
  <si>
    <t>Microbial Genetics and Genomics</t>
  </si>
  <si>
    <t>Evolutionary Biology</t>
  </si>
  <si>
    <t>Landscape Ecology</t>
  </si>
  <si>
    <t>Cell Biology</t>
  </si>
  <si>
    <t>Protein Science</t>
  </si>
  <si>
    <t>Behavioral Sciences</t>
  </si>
  <si>
    <t xml:space="preserve"> Geographical Information Systems / Cartography</t>
  </si>
  <si>
    <t xml:space="preserve"> Remote Sensing/Photogrammetry</t>
  </si>
  <si>
    <t xml:space="preserve"> Landscape, Regional and Urban Planning</t>
  </si>
  <si>
    <t xml:space="preserve"> Geomorphology</t>
  </si>
  <si>
    <t>e-commerce / e-business</t>
  </si>
  <si>
    <t>Computers and Society</t>
  </si>
  <si>
    <t>Health Informatics</t>
  </si>
  <si>
    <t>Computer Applications</t>
  </si>
  <si>
    <t>Image Processing and Computer Vision</t>
  </si>
  <si>
    <t>Computer Graphics</t>
  </si>
  <si>
    <t>Computer Imaging, Vision, Pattern Recognition and Graphics</t>
  </si>
  <si>
    <t>Information Storage and Retrieval</t>
  </si>
  <si>
    <t>Theory of Computation</t>
  </si>
  <si>
    <t xml:space="preserve"> Programming Languages, Compilers, Interpreters</t>
  </si>
  <si>
    <t>Computer Communication Networks</t>
  </si>
  <si>
    <t>Computer Science (general)</t>
  </si>
  <si>
    <t xml:space="preserve"> Surgery</t>
  </si>
  <si>
    <t xml:space="preserve"> Oral and Maxillofacial Surgery</t>
  </si>
  <si>
    <t xml:space="preserve"> Oncology </t>
  </si>
  <si>
    <t xml:space="preserve"> Optalmology</t>
  </si>
  <si>
    <t xml:space="preserve"> Patology</t>
  </si>
  <si>
    <t xml:space="preserve"> Hematology</t>
  </si>
  <si>
    <t xml:space="preserve"> Medical Biochemistry</t>
  </si>
  <si>
    <t xml:space="preserve"> Imaging / Radiology</t>
  </si>
  <si>
    <t xml:space="preserve"> Diagnostic Radiology</t>
  </si>
  <si>
    <t xml:space="preserve"> Earth System Sciences</t>
  </si>
  <si>
    <t xml:space="preserve"> Atmospheric Sciences</t>
  </si>
  <si>
    <t>Geophysics / Geodesy</t>
  </si>
  <si>
    <t>Earth Sciences (general)</t>
  </si>
  <si>
    <t>Philosophy of Mind</t>
  </si>
  <si>
    <t>Medicinal Chemistry</t>
  </si>
  <si>
    <t>Polymer Sciences</t>
  </si>
  <si>
    <t>Physical Chemistry</t>
  </si>
  <si>
    <t>Organometallic Chemistry</t>
  </si>
  <si>
    <t>Inorganic Chemistry</t>
  </si>
  <si>
    <t>Analytical Chemistry</t>
  </si>
  <si>
    <t>Cancer Research</t>
  </si>
  <si>
    <t>10 Volume Set</t>
  </si>
  <si>
    <t>7 Volume Set</t>
  </si>
  <si>
    <t>5 Volume Set</t>
  </si>
  <si>
    <t>4 Volume Set</t>
  </si>
  <si>
    <t>2 Volume Set</t>
  </si>
  <si>
    <t>Bridging Academic and Vocational Learning, 6 Volume Set</t>
  </si>
  <si>
    <t>Challenges and Rewards, 2 Volume Set</t>
  </si>
  <si>
    <t>Mena</t>
  </si>
  <si>
    <t>Vydanie</t>
  </si>
  <si>
    <t>Väzba</t>
  </si>
  <si>
    <t>Oblasť</t>
  </si>
  <si>
    <t>Podoblasť</t>
  </si>
  <si>
    <t>Kategória</t>
  </si>
  <si>
    <t>Podtitul</t>
  </si>
  <si>
    <t>Séria</t>
  </si>
  <si>
    <t>Autor</t>
  </si>
  <si>
    <t>Titul</t>
  </si>
  <si>
    <t>Cena EUR</t>
  </si>
  <si>
    <t>Zľava%</t>
  </si>
  <si>
    <t>Katalógová cena (bez DPH a dopravy)</t>
  </si>
  <si>
    <t>MALÉ CENTRUM</t>
  </si>
  <si>
    <t>www.malecentrum.sk</t>
  </si>
  <si>
    <t>Malé Centrum, s.r.o. (Kníhkupectvo a vydavateľstvo)</t>
  </si>
  <si>
    <t>Bookworm´s Nest, Michalská 2, Bratislava (showroom)</t>
  </si>
  <si>
    <t>Radlinského 9, 812 37 Bratislava, Slovenská republika</t>
  </si>
  <si>
    <t>facebook.com/BookwormsNest</t>
  </si>
  <si>
    <t>IČO: 35812575, DIČ: 2020283991, IČ DPH: SK2020283991</t>
  </si>
  <si>
    <t>www.bookwormsnest.eu</t>
  </si>
  <si>
    <t>Korešpondenčná adresa:</t>
  </si>
  <si>
    <t>P.O.Box 71/15, 810 05 Bratislava, Slovenská republika</t>
  </si>
  <si>
    <t>Kontakt: 02/529 311 22, janka@malecentrum.sk</t>
  </si>
  <si>
    <t>facebook.com/Malé-Centrum</t>
  </si>
  <si>
    <t>Táto ponuka spadá pod ochranu nášho autorstva</t>
  </si>
  <si>
    <t>Výpredaj titulov z vydavateľstva Springer</t>
  </si>
  <si>
    <t>Ceny v EUR zahŕňajú poštovné náklady zo zahraničia na našu pobočku v Bratislave a sú vrátane DPH (10%)</t>
  </si>
  <si>
    <t>Zľavnená cena EUR</t>
  </si>
  <si>
    <r>
      <rPr>
        <b/>
        <i/>
        <sz val="10"/>
        <rFont val="Arial"/>
        <family val="2"/>
      </rPr>
      <t xml:space="preserve">Poštovné: </t>
    </r>
    <r>
      <rPr>
        <i/>
        <sz val="10"/>
        <rFont val="Arial"/>
        <family val="2"/>
      </rPr>
      <t>do 100 EUR podľa váhy a ceny (od 3,80 EUR), nad 100 EUR hradí Malé Centrum, pri osobnom vyzdvihnutí zdarma</t>
    </r>
  </si>
  <si>
    <t>ponuka platí do vypredania zásob</t>
  </si>
  <si>
    <r>
      <t xml:space="preserve">Doba dodania: </t>
    </r>
    <r>
      <rPr>
        <b/>
        <i/>
        <sz val="10"/>
        <color indexed="51"/>
        <rFont val="Arial"/>
        <family val="2"/>
      </rPr>
      <t>ihneď</t>
    </r>
  </si>
</sst>
</file>

<file path=xl/styles.xml><?xml version="1.0" encoding="utf-8"?>
<styleSheet xmlns="http://schemas.openxmlformats.org/spreadsheetml/2006/main">
  <numFmts count="1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[$€-1];[Red]\-#,##0.00\ [$€-1]"/>
    <numFmt numFmtId="165" formatCode="\P\r\a\vd\a;&quot;Pravda&quot;;&quot;Nepravda&quot;"/>
    <numFmt numFmtId="166" formatCode="[$€-2]\ #\ ##,000_);[Red]\([$¥€-2]\ #\ ##,000\)"/>
    <numFmt numFmtId="167" formatCode="[$-41B]mmmm\ yy;@"/>
  </numFmts>
  <fonts count="89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b/>
      <i/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Calibri"/>
      <family val="2"/>
    </font>
    <font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b/>
      <i/>
      <sz val="11"/>
      <color indexed="51"/>
      <name val="Arial"/>
      <family val="2"/>
    </font>
    <font>
      <b/>
      <i/>
      <sz val="10"/>
      <color indexed="51"/>
      <name val="Arial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i/>
      <sz val="10"/>
      <color indexed="63"/>
      <name val="Arial"/>
      <family val="2"/>
    </font>
    <font>
      <i/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i/>
      <sz val="11"/>
      <color rgb="FFFFC000"/>
      <name val="Arial"/>
      <family val="2"/>
    </font>
    <font>
      <strike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0"/>
      <color theme="2" tint="-0.7499799728393555"/>
      <name val="Arial"/>
      <family val="2"/>
    </font>
    <font>
      <b/>
      <sz val="12"/>
      <color theme="2" tint="-0.7499799728393555"/>
      <name val="Arial"/>
      <family val="2"/>
    </font>
    <font>
      <i/>
      <sz val="10"/>
      <color theme="2" tint="-0.7499799728393555"/>
      <name val="Arial"/>
      <family val="2"/>
    </font>
    <font>
      <i/>
      <sz val="9"/>
      <color theme="2" tint="-0.749979972839355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>
      <alignment vertical="top"/>
      <protection/>
    </xf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1" fontId="56" fillId="33" borderId="0" xfId="0" applyNumberFormat="1" applyFont="1" applyFill="1" applyBorder="1" applyAlignment="1">
      <alignment horizontal="left" vertical="center"/>
    </xf>
    <xf numFmtId="0" fontId="71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left" vertical="center"/>
    </xf>
    <xf numFmtId="0" fontId="56" fillId="34" borderId="0" xfId="0" applyFont="1" applyFill="1" applyAlignment="1">
      <alignment vertic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4" fontId="56" fillId="33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left"/>
      <protection/>
    </xf>
    <xf numFmtId="0" fontId="28" fillId="0" borderId="10" xfId="0" applyNumberFormat="1" applyFont="1" applyFill="1" applyBorder="1" applyAlignment="1" applyProtection="1">
      <alignment/>
      <protection/>
    </xf>
    <xf numFmtId="0" fontId="3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30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52" fillId="35" borderId="0" xfId="0" applyNumberFormat="1" applyFont="1" applyFill="1" applyBorder="1" applyAlignment="1">
      <alignment horizontal="left" vertical="center"/>
    </xf>
    <xf numFmtId="0" fontId="72" fillId="35" borderId="0" xfId="0" applyFont="1" applyFill="1" applyBorder="1" applyAlignment="1">
      <alignment vertical="center"/>
    </xf>
    <xf numFmtId="0" fontId="73" fillId="35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vertical="center"/>
    </xf>
    <xf numFmtId="0" fontId="74" fillId="35" borderId="0" xfId="0" applyFont="1" applyFill="1" applyBorder="1" applyAlignment="1">
      <alignment horizontal="center" vertical="center"/>
    </xf>
    <xf numFmtId="2" fontId="72" fillId="35" borderId="0" xfId="0" applyNumberFormat="1" applyFont="1" applyFill="1" applyBorder="1" applyAlignment="1">
      <alignment horizontal="left" vertical="center"/>
    </xf>
    <xf numFmtId="0" fontId="72" fillId="35" borderId="0" xfId="0" applyFont="1" applyFill="1" applyBorder="1" applyAlignment="1">
      <alignment horizontal="center" vertical="center"/>
    </xf>
    <xf numFmtId="1" fontId="3" fillId="35" borderId="0" xfId="0" applyNumberFormat="1" applyFont="1" applyFill="1" applyAlignment="1">
      <alignment horizontal="left" vertical="center"/>
    </xf>
    <xf numFmtId="0" fontId="75" fillId="35" borderId="0" xfId="36" applyFont="1" applyFill="1" applyAlignment="1" applyProtection="1">
      <alignment vertical="center"/>
      <protection/>
    </xf>
    <xf numFmtId="0" fontId="1" fillId="35" borderId="0" xfId="0" applyFont="1" applyFill="1" applyBorder="1" applyAlignment="1">
      <alignment vertical="center"/>
    </xf>
    <xf numFmtId="4" fontId="1" fillId="35" borderId="0" xfId="0" applyNumberFormat="1" applyFont="1" applyFill="1" applyBorder="1" applyAlignment="1">
      <alignment vertic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1" fontId="4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1" fontId="76" fillId="35" borderId="0" xfId="0" applyNumberFormat="1" applyFont="1" applyFill="1" applyAlignment="1">
      <alignment vertical="center" wrapText="1"/>
    </xf>
    <xf numFmtId="4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center"/>
    </xf>
    <xf numFmtId="1" fontId="5" fillId="35" borderId="0" xfId="0" applyNumberFormat="1" applyFont="1" applyFill="1" applyAlignment="1">
      <alignment horizontal="left"/>
    </xf>
    <xf numFmtId="1" fontId="0" fillId="35" borderId="0" xfId="0" applyNumberFormat="1" applyFont="1" applyFill="1" applyAlignment="1">
      <alignment horizontal="left"/>
    </xf>
    <xf numFmtId="0" fontId="55" fillId="35" borderId="0" xfId="36" applyFont="1" applyFill="1" applyAlignment="1" applyProtection="1">
      <alignment horizontal="left"/>
      <protection/>
    </xf>
    <xf numFmtId="1" fontId="6" fillId="35" borderId="0" xfId="0" applyNumberFormat="1" applyFont="1" applyFill="1" applyAlignment="1">
      <alignment horizontal="left"/>
    </xf>
    <xf numFmtId="0" fontId="8" fillId="35" borderId="0" xfId="0" applyFont="1" applyFill="1" applyAlignment="1">
      <alignment/>
    </xf>
    <xf numFmtId="2" fontId="7" fillId="35" borderId="0" xfId="0" applyNumberFormat="1" applyFont="1" applyFill="1" applyAlignment="1">
      <alignment horizontal="left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 horizontal="right"/>
    </xf>
    <xf numFmtId="1" fontId="77" fillId="34" borderId="0" xfId="0" applyNumberFormat="1" applyFont="1" applyFill="1" applyBorder="1" applyAlignment="1">
      <alignment vertical="center"/>
    </xf>
    <xf numFmtId="4" fontId="78" fillId="33" borderId="0" xfId="0" applyNumberFormat="1" applyFont="1" applyFill="1" applyBorder="1" applyAlignment="1">
      <alignment horizontal="center" vertical="center" wrapText="1"/>
    </xf>
    <xf numFmtId="4" fontId="79" fillId="35" borderId="0" xfId="0" applyNumberFormat="1" applyFont="1" applyFill="1" applyBorder="1" applyAlignment="1">
      <alignment horizontal="center" vertical="center"/>
    </xf>
    <xf numFmtId="4" fontId="80" fillId="35" borderId="0" xfId="0" applyNumberFormat="1" applyFont="1" applyFill="1" applyBorder="1" applyAlignment="1">
      <alignment vertical="center"/>
    </xf>
    <xf numFmtId="4" fontId="81" fillId="35" borderId="0" xfId="0" applyNumberFormat="1" applyFont="1" applyFill="1" applyAlignment="1">
      <alignment/>
    </xf>
    <xf numFmtId="4" fontId="78" fillId="0" borderId="0" xfId="0" applyNumberFormat="1" applyFont="1" applyFill="1" applyBorder="1" applyAlignment="1" applyProtection="1">
      <alignment horizontal="center"/>
      <protection/>
    </xf>
    <xf numFmtId="4" fontId="78" fillId="34" borderId="10" xfId="0" applyNumberFormat="1" applyFont="1" applyFill="1" applyBorder="1" applyAlignment="1" applyProtection="1">
      <alignment horizontal="center"/>
      <protection/>
    </xf>
    <xf numFmtId="0" fontId="82" fillId="35" borderId="0" xfId="0" applyFont="1" applyFill="1" applyAlignment="1">
      <alignment/>
    </xf>
    <xf numFmtId="4" fontId="45" fillId="0" borderId="10" xfId="0" applyNumberFormat="1" applyFont="1" applyFill="1" applyBorder="1" applyAlignment="1" applyProtection="1">
      <alignment horizontal="center"/>
      <protection/>
    </xf>
    <xf numFmtId="4" fontId="83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0" fontId="84" fillId="35" borderId="0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vertical="center"/>
    </xf>
    <xf numFmtId="0" fontId="84" fillId="35" borderId="0" xfId="0" applyFont="1" applyFill="1" applyAlignment="1">
      <alignment/>
    </xf>
    <xf numFmtId="0" fontId="85" fillId="35" borderId="0" xfId="0" applyFont="1" applyFill="1" applyAlignment="1">
      <alignment/>
    </xf>
    <xf numFmtId="1" fontId="86" fillId="35" borderId="0" xfId="0" applyNumberFormat="1" applyFont="1" applyFill="1" applyAlignment="1">
      <alignment vertical="center" wrapText="1"/>
    </xf>
    <xf numFmtId="2" fontId="85" fillId="35" borderId="0" xfId="0" applyNumberFormat="1" applyFont="1" applyFill="1" applyAlignment="1">
      <alignment/>
    </xf>
    <xf numFmtId="167" fontId="87" fillId="35" borderId="0" xfId="0" applyNumberFormat="1" applyFont="1" applyFill="1" applyAlignment="1">
      <alignment horizontal="right"/>
    </xf>
    <xf numFmtId="0" fontId="87" fillId="35" borderId="0" xfId="0" applyFont="1" applyFill="1" applyAlignment="1">
      <alignment horizontal="right"/>
    </xf>
    <xf numFmtId="14" fontId="85" fillId="35" borderId="0" xfId="0" applyNumberFormat="1" applyFont="1" applyFill="1" applyAlignment="1">
      <alignment/>
    </xf>
    <xf numFmtId="2" fontId="88" fillId="33" borderId="0" xfId="0" applyNumberFormat="1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 applyProtection="1">
      <alignment horizontal="center"/>
      <protection/>
    </xf>
    <xf numFmtId="0" fontId="88" fillId="0" borderId="10" xfId="0" applyNumberFormat="1" applyFont="1" applyFill="1" applyBorder="1" applyAlignment="1" applyProtection="1">
      <alignment horizontal="center"/>
      <protection/>
    </xf>
    <xf numFmtId="2" fontId="88" fillId="0" borderId="10" xfId="0" applyNumberFormat="1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/>
    </xf>
    <xf numFmtId="0" fontId="88" fillId="0" borderId="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4</xdr:row>
      <xdr:rowOff>9525</xdr:rowOff>
    </xdr:from>
    <xdr:to>
      <xdr:col>8</xdr:col>
      <xdr:colOff>200025</xdr:colOff>
      <xdr:row>7</xdr:row>
      <xdr:rowOff>152400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790575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0</xdr:row>
      <xdr:rowOff>28575</xdr:rowOff>
    </xdr:from>
    <xdr:to>
      <xdr:col>8</xdr:col>
      <xdr:colOff>228600</xdr:colOff>
      <xdr:row>4</xdr:row>
      <xdr:rowOff>28575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28575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ages/Mal&#233;-Centrum/117398254969195" TargetMode="External" /><Relationship Id="rId2" Type="http://schemas.openxmlformats.org/officeDocument/2006/relationships/hyperlink" Target="http://www.facebook.com/BookwormsNest" TargetMode="External" /><Relationship Id="rId3" Type="http://schemas.openxmlformats.org/officeDocument/2006/relationships/hyperlink" Target="http://www.bookwormsnest.eu/" TargetMode="External" /><Relationship Id="rId4" Type="http://schemas.openxmlformats.org/officeDocument/2006/relationships/hyperlink" Target="http://www.malecentrum.sk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0"/>
  <sheetViews>
    <sheetView tabSelected="1" zoomScaleSheetLayoutView="10" zoomScalePageLayoutView="0" workbookViewId="0" topLeftCell="A1">
      <selection activeCell="J1" sqref="J1"/>
    </sheetView>
  </sheetViews>
  <sheetFormatPr defaultColWidth="11.421875" defaultRowHeight="12.75" customHeight="1"/>
  <cols>
    <col min="1" max="1" width="25.140625" style="9" customWidth="1"/>
    <col min="2" max="2" width="21.421875" style="2" customWidth="1"/>
    <col min="3" max="3" width="15.28125" style="1" customWidth="1"/>
    <col min="4" max="4" width="11.00390625" style="7" customWidth="1"/>
    <col min="5" max="5" width="63.57421875" style="8" customWidth="1"/>
    <col min="6" max="6" width="7.140625" style="3" customWidth="1"/>
    <col min="7" max="7" width="14.421875" style="4" customWidth="1"/>
    <col min="8" max="8" width="10.57421875" style="18" customWidth="1"/>
    <col min="9" max="9" width="8.00390625" style="16" customWidth="1"/>
    <col min="10" max="10" width="11.140625" style="67" customWidth="1"/>
    <col min="11" max="11" width="15.421875" style="88" hidden="1" customWidth="1"/>
    <col min="12" max="12" width="8.00390625" style="88" hidden="1" customWidth="1"/>
    <col min="13" max="13" width="10.28125" style="2" customWidth="1"/>
    <col min="14" max="14" width="12.7109375" style="4" customWidth="1"/>
    <col min="15" max="15" width="23.421875" style="2" customWidth="1"/>
    <col min="16" max="16" width="29.140625" style="4" customWidth="1"/>
    <col min="17" max="17" width="55.57421875" style="4" customWidth="1"/>
    <col min="18" max="16384" width="11.421875" style="5" customWidth="1"/>
  </cols>
  <sheetData>
    <row r="1" spans="1:12" s="39" customFormat="1" ht="5.25" customHeight="1">
      <c r="A1" s="35"/>
      <c r="B1" s="36"/>
      <c r="C1" s="37"/>
      <c r="D1" s="38"/>
      <c r="F1" s="38"/>
      <c r="G1" s="40"/>
      <c r="H1" s="41"/>
      <c r="I1" s="42"/>
      <c r="J1" s="64"/>
      <c r="K1" s="73"/>
      <c r="L1" s="73"/>
    </row>
    <row r="2" spans="1:13" s="45" customFormat="1" ht="25.5" customHeight="1">
      <c r="A2" s="43" t="s">
        <v>1377</v>
      </c>
      <c r="B2" s="44" t="s">
        <v>1378</v>
      </c>
      <c r="C2" s="44"/>
      <c r="E2" s="62" t="s">
        <v>1390</v>
      </c>
      <c r="G2" s="46"/>
      <c r="H2" s="47"/>
      <c r="J2" s="65"/>
      <c r="K2" s="74"/>
      <c r="L2" s="75"/>
      <c r="M2" s="48"/>
    </row>
    <row r="3" spans="1:13" s="50" customFormat="1" ht="18" customHeight="1">
      <c r="A3" s="49"/>
      <c r="E3" s="51"/>
      <c r="G3" s="52"/>
      <c r="J3" s="66"/>
      <c r="K3" s="76"/>
      <c r="L3" s="77"/>
      <c r="M3" s="53"/>
    </row>
    <row r="4" spans="1:13" s="50" customFormat="1" ht="12.75" customHeight="1">
      <c r="A4" s="54" t="s">
        <v>1379</v>
      </c>
      <c r="E4" s="54" t="s">
        <v>1380</v>
      </c>
      <c r="G4" s="52"/>
      <c r="J4" s="66"/>
      <c r="K4" s="76"/>
      <c r="L4" s="77"/>
      <c r="M4" s="53"/>
    </row>
    <row r="5" spans="1:13" s="50" customFormat="1" ht="15">
      <c r="A5" s="55" t="s">
        <v>1381</v>
      </c>
      <c r="E5" s="56" t="s">
        <v>1382</v>
      </c>
      <c r="G5" s="52"/>
      <c r="J5" s="66"/>
      <c r="K5" s="76"/>
      <c r="L5" s="78"/>
      <c r="M5" s="53"/>
    </row>
    <row r="6" spans="1:13" s="50" customFormat="1" ht="15">
      <c r="A6" s="55" t="s">
        <v>1383</v>
      </c>
      <c r="E6" s="56" t="s">
        <v>1384</v>
      </c>
      <c r="G6" s="52"/>
      <c r="J6" s="66"/>
      <c r="K6" s="76"/>
      <c r="L6" s="78"/>
      <c r="M6" s="53"/>
    </row>
    <row r="7" spans="1:13" s="50" customFormat="1" ht="15">
      <c r="A7" s="57" t="s">
        <v>1385</v>
      </c>
      <c r="G7" s="52"/>
      <c r="J7" s="66"/>
      <c r="K7" s="76"/>
      <c r="L7" s="78"/>
      <c r="M7" s="53"/>
    </row>
    <row r="8" spans="1:13" s="50" customFormat="1" ht="15">
      <c r="A8" s="55" t="s">
        <v>1386</v>
      </c>
      <c r="E8" s="69" t="s">
        <v>1394</v>
      </c>
      <c r="G8" s="52"/>
      <c r="J8" s="66"/>
      <c r="K8" s="76"/>
      <c r="L8" s="78"/>
      <c r="M8" s="53"/>
    </row>
    <row r="9" spans="1:13" s="50" customFormat="1" ht="15">
      <c r="A9" s="55"/>
      <c r="G9" s="52"/>
      <c r="J9" s="66"/>
      <c r="K9" s="79"/>
      <c r="L9" s="78"/>
      <c r="M9" s="53"/>
    </row>
    <row r="10" spans="1:13" s="50" customFormat="1" ht="15">
      <c r="A10" s="55" t="s">
        <v>1387</v>
      </c>
      <c r="E10" s="58" t="s">
        <v>1395</v>
      </c>
      <c r="G10" s="52"/>
      <c r="J10" s="66"/>
      <c r="K10" s="80"/>
      <c r="L10" s="78"/>
      <c r="M10" s="53"/>
    </row>
    <row r="11" spans="1:13" s="50" customFormat="1" ht="15">
      <c r="A11" s="56" t="s">
        <v>1388</v>
      </c>
      <c r="E11" s="59" t="s">
        <v>1393</v>
      </c>
      <c r="G11" s="52"/>
      <c r="J11" s="66"/>
      <c r="K11" s="80"/>
      <c r="L11" s="81"/>
      <c r="M11" s="53"/>
    </row>
    <row r="12" spans="1:13" s="50" customFormat="1" ht="15">
      <c r="A12" s="55"/>
      <c r="E12" s="59"/>
      <c r="G12" s="52"/>
      <c r="J12" s="66"/>
      <c r="K12" s="80"/>
      <c r="L12" s="76"/>
      <c r="M12" s="53"/>
    </row>
    <row r="13" spans="1:13" s="50" customFormat="1" ht="15">
      <c r="A13" s="60" t="s">
        <v>1391</v>
      </c>
      <c r="E13" s="59"/>
      <c r="G13" s="52"/>
      <c r="J13" s="66"/>
      <c r="K13" s="76"/>
      <c r="L13" s="76"/>
      <c r="M13" s="53"/>
    </row>
    <row r="14" spans="1:13" s="50" customFormat="1" ht="15">
      <c r="A14" s="60" t="s">
        <v>1389</v>
      </c>
      <c r="E14" s="61"/>
      <c r="G14" s="52"/>
      <c r="J14" s="66"/>
      <c r="K14" s="76"/>
      <c r="L14" s="76"/>
      <c r="M14" s="53"/>
    </row>
    <row r="15" spans="1:13" s="50" customFormat="1" ht="8.25" customHeight="1">
      <c r="A15" s="56"/>
      <c r="E15" s="61"/>
      <c r="G15" s="52"/>
      <c r="J15" s="66"/>
      <c r="K15" s="76"/>
      <c r="L15" s="76"/>
      <c r="M15" s="53"/>
    </row>
    <row r="16" spans="1:17" ht="34.5" customHeight="1">
      <c r="A16" s="15" t="s">
        <v>1367</v>
      </c>
      <c r="B16" s="15" t="s">
        <v>1368</v>
      </c>
      <c r="C16" s="10" t="s">
        <v>1</v>
      </c>
      <c r="D16" s="11" t="s">
        <v>1372</v>
      </c>
      <c r="E16" s="11" t="s">
        <v>1373</v>
      </c>
      <c r="F16" s="12" t="s">
        <v>1052</v>
      </c>
      <c r="G16" s="13" t="s">
        <v>1053</v>
      </c>
      <c r="H16" s="17" t="s">
        <v>1374</v>
      </c>
      <c r="I16" s="12" t="s">
        <v>1375</v>
      </c>
      <c r="J16" s="63" t="s">
        <v>1392</v>
      </c>
      <c r="K16" s="82" t="s">
        <v>1376</v>
      </c>
      <c r="L16" s="83" t="s">
        <v>1364</v>
      </c>
      <c r="M16" s="13" t="s">
        <v>1366</v>
      </c>
      <c r="N16" s="14" t="s">
        <v>1365</v>
      </c>
      <c r="O16" s="15" t="s">
        <v>1369</v>
      </c>
      <c r="P16" s="15" t="s">
        <v>1370</v>
      </c>
      <c r="Q16" s="15" t="s">
        <v>1371</v>
      </c>
    </row>
    <row r="17" spans="1:17" s="6" customFormat="1" ht="13.5" customHeight="1">
      <c r="A17" s="19" t="s">
        <v>4</v>
      </c>
      <c r="B17" s="20" t="s">
        <v>1159</v>
      </c>
      <c r="C17" s="21">
        <v>9780387312828</v>
      </c>
      <c r="D17" s="22" t="s">
        <v>15</v>
      </c>
      <c r="E17" s="23" t="str">
        <f>HYPERLINK("http://www.springer.com/gp/book/9780387312828","Nanotechnology for Biology and Medicine")</f>
        <v>Nanotechnology for Biology and Medicine</v>
      </c>
      <c r="F17" s="24">
        <v>2012</v>
      </c>
      <c r="G17" s="25" t="s">
        <v>957</v>
      </c>
      <c r="H17" s="70">
        <v>219.44</v>
      </c>
      <c r="I17" s="26">
        <v>20</v>
      </c>
      <c r="J17" s="68">
        <v>175.55</v>
      </c>
      <c r="K17" s="84">
        <v>189.99</v>
      </c>
      <c r="L17" s="85" t="s">
        <v>958</v>
      </c>
      <c r="M17" s="27" t="s">
        <v>977</v>
      </c>
      <c r="N17" s="25"/>
      <c r="O17" s="20" t="s">
        <v>10</v>
      </c>
      <c r="P17" s="25" t="s">
        <v>16</v>
      </c>
      <c r="Q17" s="25" t="s">
        <v>17</v>
      </c>
    </row>
    <row r="18" spans="1:17" s="6" customFormat="1" ht="13.5" customHeight="1">
      <c r="A18" s="19" t="s">
        <v>4</v>
      </c>
      <c r="B18" s="20" t="s">
        <v>1153</v>
      </c>
      <c r="C18" s="21">
        <v>9781402032691</v>
      </c>
      <c r="D18" s="22" t="s">
        <v>2</v>
      </c>
      <c r="E18" s="23" t="str">
        <f>HYPERLINK("http://www.springer.com/gp/book/9781402032691","Killer Lymphocytes")</f>
        <v>Killer Lymphocytes</v>
      </c>
      <c r="F18" s="24">
        <v>2007</v>
      </c>
      <c r="G18" s="25" t="s">
        <v>957</v>
      </c>
      <c r="H18" s="70">
        <v>173.24</v>
      </c>
      <c r="I18" s="26">
        <v>30</v>
      </c>
      <c r="J18" s="68">
        <v>121.27</v>
      </c>
      <c r="K18" s="84">
        <v>149.99</v>
      </c>
      <c r="L18" s="85" t="s">
        <v>958</v>
      </c>
      <c r="M18" s="27" t="s">
        <v>977</v>
      </c>
      <c r="N18" s="25"/>
      <c r="O18" s="20" t="s">
        <v>3</v>
      </c>
      <c r="P18" s="25"/>
      <c r="Q18" s="25"/>
    </row>
    <row r="19" spans="1:17" ht="13.5" customHeight="1">
      <c r="A19" s="19" t="s">
        <v>4</v>
      </c>
      <c r="B19" s="20" t="s">
        <v>1155</v>
      </c>
      <c r="C19" s="21">
        <v>9781461439639</v>
      </c>
      <c r="D19" s="22" t="s">
        <v>20</v>
      </c>
      <c r="E19" s="23" t="str">
        <f>HYPERLINK("http://www.springer.com/gp/book/9781461439639","Structural Biology")</f>
        <v>Structural Biology</v>
      </c>
      <c r="F19" s="24">
        <v>2013</v>
      </c>
      <c r="G19" s="25" t="s">
        <v>957</v>
      </c>
      <c r="H19" s="70">
        <v>88.68</v>
      </c>
      <c r="I19" s="26">
        <v>20</v>
      </c>
      <c r="J19" s="68">
        <v>70.94</v>
      </c>
      <c r="K19" s="84">
        <v>74.99</v>
      </c>
      <c r="L19" s="85" t="s">
        <v>958</v>
      </c>
      <c r="M19" s="27" t="s">
        <v>977</v>
      </c>
      <c r="N19" s="25" t="s">
        <v>1061</v>
      </c>
      <c r="O19" s="20" t="s">
        <v>22</v>
      </c>
      <c r="P19" s="25" t="s">
        <v>21</v>
      </c>
      <c r="Q19" s="25"/>
    </row>
    <row r="20" spans="1:17" ht="13.5" customHeight="1">
      <c r="A20" s="19" t="s">
        <v>4</v>
      </c>
      <c r="B20" s="20" t="s">
        <v>1158</v>
      </c>
      <c r="C20" s="21">
        <v>9780387497822</v>
      </c>
      <c r="D20" s="22" t="s">
        <v>18</v>
      </c>
      <c r="E20" s="23" t="str">
        <f>HYPERLINK("http://www.springer.com/gp/book/9780387497822","Prodrugs")</f>
        <v>Prodrugs</v>
      </c>
      <c r="F20" s="24">
        <v>2007</v>
      </c>
      <c r="G20" s="25" t="s">
        <v>957</v>
      </c>
      <c r="H20" s="70">
        <v>731.02</v>
      </c>
      <c r="I20" s="26">
        <v>30</v>
      </c>
      <c r="J20" s="68">
        <v>511.71</v>
      </c>
      <c r="K20" s="84">
        <v>639</v>
      </c>
      <c r="L20" s="85" t="s">
        <v>958</v>
      </c>
      <c r="M20" s="27" t="s">
        <v>977</v>
      </c>
      <c r="N20" s="25"/>
      <c r="O20" s="20" t="s">
        <v>10</v>
      </c>
      <c r="P20" s="25" t="s">
        <v>1363</v>
      </c>
      <c r="Q20" s="25" t="s">
        <v>19</v>
      </c>
    </row>
    <row r="21" spans="1:17" ht="13.5" customHeight="1">
      <c r="A21" s="19" t="s">
        <v>4</v>
      </c>
      <c r="B21" s="20" t="s">
        <v>1158</v>
      </c>
      <c r="C21" s="21">
        <v>9783540727170</v>
      </c>
      <c r="D21" s="22" t="s">
        <v>12</v>
      </c>
      <c r="E21" s="23" t="str">
        <f>HYPERLINK("http://www.springer.com/gp/book/9783540727170","Molecular Imaging I")</f>
        <v>Molecular Imaging I</v>
      </c>
      <c r="F21" s="24">
        <v>2008</v>
      </c>
      <c r="G21" s="25" t="s">
        <v>957</v>
      </c>
      <c r="H21" s="70">
        <v>445.02</v>
      </c>
      <c r="I21" s="26">
        <v>25</v>
      </c>
      <c r="J21" s="68">
        <v>333.77</v>
      </c>
      <c r="K21" s="84">
        <v>389</v>
      </c>
      <c r="L21" s="85" t="s">
        <v>958</v>
      </c>
      <c r="M21" s="27" t="s">
        <v>977</v>
      </c>
      <c r="N21" s="25"/>
      <c r="O21" s="20" t="s">
        <v>8</v>
      </c>
      <c r="P21" s="25"/>
      <c r="Q21" s="25" t="s">
        <v>13</v>
      </c>
    </row>
    <row r="22" spans="1:17" ht="13.5" customHeight="1">
      <c r="A22" s="19" t="s">
        <v>4</v>
      </c>
      <c r="B22" s="20" t="s">
        <v>1158</v>
      </c>
      <c r="C22" s="21">
        <v>9783540774495</v>
      </c>
      <c r="D22" s="22" t="s">
        <v>12</v>
      </c>
      <c r="E22" s="23" t="str">
        <f>HYPERLINK("http://www.springer.com/gp/book/9783540774495","Molecular Imaging II")</f>
        <v>Molecular Imaging II</v>
      </c>
      <c r="F22" s="24">
        <v>2008</v>
      </c>
      <c r="G22" s="25" t="s">
        <v>957</v>
      </c>
      <c r="H22" s="70">
        <v>445.02</v>
      </c>
      <c r="I22" s="26">
        <v>25</v>
      </c>
      <c r="J22" s="68">
        <v>333.77</v>
      </c>
      <c r="K22" s="84">
        <v>389</v>
      </c>
      <c r="L22" s="85" t="s">
        <v>958</v>
      </c>
      <c r="M22" s="27" t="s">
        <v>977</v>
      </c>
      <c r="N22" s="25"/>
      <c r="O22" s="20" t="s">
        <v>8</v>
      </c>
      <c r="P22" s="25"/>
      <c r="Q22" s="25" t="s">
        <v>14</v>
      </c>
    </row>
    <row r="23" spans="1:17" ht="13.5" customHeight="1">
      <c r="A23" s="19" t="s">
        <v>4</v>
      </c>
      <c r="B23" s="20" t="s">
        <v>1158</v>
      </c>
      <c r="C23" s="21">
        <v>9781627030076</v>
      </c>
      <c r="D23" s="22" t="s">
        <v>23</v>
      </c>
      <c r="E23" s="23" t="str">
        <f>HYPERLINK("http://www.springer.com/gp/book/9781627030076","Rational Drug Design")</f>
        <v>Rational Drug Design</v>
      </c>
      <c r="F23" s="24">
        <v>2012</v>
      </c>
      <c r="G23" s="25" t="s">
        <v>957</v>
      </c>
      <c r="H23" s="70">
        <v>121.26</v>
      </c>
      <c r="I23" s="26">
        <v>20</v>
      </c>
      <c r="J23" s="68">
        <v>97.01</v>
      </c>
      <c r="K23" s="84">
        <v>104.99</v>
      </c>
      <c r="L23" s="85" t="s">
        <v>958</v>
      </c>
      <c r="M23" s="27" t="s">
        <v>977</v>
      </c>
      <c r="N23" s="25"/>
      <c r="O23" s="20" t="s">
        <v>10</v>
      </c>
      <c r="P23" s="25" t="s">
        <v>24</v>
      </c>
      <c r="Q23" s="25" t="s">
        <v>25</v>
      </c>
    </row>
    <row r="24" spans="1:17" ht="13.5" customHeight="1">
      <c r="A24" s="19" t="s">
        <v>4</v>
      </c>
      <c r="B24" s="20" t="s">
        <v>1356</v>
      </c>
      <c r="C24" s="21">
        <v>9781402034138</v>
      </c>
      <c r="D24" s="22" t="s">
        <v>9</v>
      </c>
      <c r="E24" s="23" t="str">
        <f>HYPERLINK("http://www.springer.com/gp/book/9781402034138","Integration/Interaction of Oncologic Growth")</f>
        <v>Integration/Interaction of Oncologic Growth</v>
      </c>
      <c r="F24" s="24">
        <v>2005</v>
      </c>
      <c r="G24" s="25" t="s">
        <v>957</v>
      </c>
      <c r="H24" s="70">
        <v>230.99</v>
      </c>
      <c r="I24" s="26">
        <v>30</v>
      </c>
      <c r="J24" s="68">
        <v>161.69</v>
      </c>
      <c r="K24" s="84">
        <v>199.99</v>
      </c>
      <c r="L24" s="85" t="s">
        <v>958</v>
      </c>
      <c r="M24" s="27" t="s">
        <v>977</v>
      </c>
      <c r="N24" s="25"/>
      <c r="O24" s="20" t="s">
        <v>10</v>
      </c>
      <c r="P24" s="25"/>
      <c r="Q24" s="25" t="s">
        <v>11</v>
      </c>
    </row>
    <row r="25" spans="1:17" ht="13.5" customHeight="1">
      <c r="A25" s="19" t="s">
        <v>4</v>
      </c>
      <c r="B25" s="20" t="s">
        <v>1356</v>
      </c>
      <c r="C25" s="21">
        <v>9789400759541</v>
      </c>
      <c r="D25" s="22" t="s">
        <v>5</v>
      </c>
      <c r="E25" s="23" t="str">
        <f>HYPERLINK("http://www.springer.com/gp/book/9789400759541","Infectious Agents and Cancer")</f>
        <v>Infectious Agents and Cancer</v>
      </c>
      <c r="F25" s="24">
        <v>2013</v>
      </c>
      <c r="G25" s="25" t="s">
        <v>957</v>
      </c>
      <c r="H25" s="70">
        <v>132.81</v>
      </c>
      <c r="I25" s="26">
        <v>20</v>
      </c>
      <c r="J25" s="68">
        <v>106.25</v>
      </c>
      <c r="K25" s="84">
        <v>114.99</v>
      </c>
      <c r="L25" s="85" t="s">
        <v>958</v>
      </c>
      <c r="M25" s="27" t="s">
        <v>977</v>
      </c>
      <c r="N25" s="25"/>
      <c r="O25" s="20" t="s">
        <v>3</v>
      </c>
      <c r="P25" s="25"/>
      <c r="Q25" s="25"/>
    </row>
    <row r="26" spans="1:17" ht="13.5" customHeight="1">
      <c r="A26" s="19" t="s">
        <v>4</v>
      </c>
      <c r="B26" s="20" t="s">
        <v>1111</v>
      </c>
      <c r="C26" s="21">
        <v>9780387303437</v>
      </c>
      <c r="D26" s="22" t="s">
        <v>6</v>
      </c>
      <c r="E26" s="23" t="str">
        <f>HYPERLINK("http://www.springer.com/gp/book/9780387303437","Handbook of Neurochemistry and Molecular Neurobiology")</f>
        <v>Handbook of Neurochemistry and Molecular Neurobiology</v>
      </c>
      <c r="F26" s="24">
        <v>2009</v>
      </c>
      <c r="G26" s="25" t="s">
        <v>957</v>
      </c>
      <c r="H26" s="70">
        <v>230.94</v>
      </c>
      <c r="I26" s="26">
        <v>25</v>
      </c>
      <c r="J26" s="68">
        <v>173.21</v>
      </c>
      <c r="K26" s="84">
        <v>199.95</v>
      </c>
      <c r="L26" s="85" t="s">
        <v>958</v>
      </c>
      <c r="M26" s="27" t="s">
        <v>977</v>
      </c>
      <c r="N26" s="25" t="s">
        <v>1054</v>
      </c>
      <c r="O26" s="20" t="s">
        <v>8</v>
      </c>
      <c r="P26" s="25" t="s">
        <v>7</v>
      </c>
      <c r="Q26" s="25"/>
    </row>
    <row r="27" spans="1:17" ht="13.5" customHeight="1">
      <c r="A27" s="19" t="s">
        <v>29</v>
      </c>
      <c r="B27" s="20" t="s">
        <v>1133</v>
      </c>
      <c r="C27" s="21">
        <v>9783790819472</v>
      </c>
      <c r="D27" s="22" t="s">
        <v>46</v>
      </c>
      <c r="E27" s="23" t="str">
        <f>HYPERLINK("http://www.springer.com/gp/book/9783790819472","Emergence and Survival of New Businesses")</f>
        <v>Emergence and Survival of New Businesses</v>
      </c>
      <c r="F27" s="24">
        <v>2007</v>
      </c>
      <c r="G27" s="25" t="s">
        <v>957</v>
      </c>
      <c r="H27" s="70">
        <v>121.26</v>
      </c>
      <c r="I27" s="26">
        <v>30</v>
      </c>
      <c r="J27" s="68">
        <v>84.88</v>
      </c>
      <c r="K27" s="84">
        <v>104.99</v>
      </c>
      <c r="L27" s="85" t="s">
        <v>958</v>
      </c>
      <c r="M27" s="27" t="s">
        <v>995</v>
      </c>
      <c r="N27" s="25"/>
      <c r="O27" s="20" t="s">
        <v>3</v>
      </c>
      <c r="P27" s="25" t="s">
        <v>47</v>
      </c>
      <c r="Q27" s="25" t="s">
        <v>48</v>
      </c>
    </row>
    <row r="28" spans="1:17" ht="13.5" customHeight="1">
      <c r="A28" s="19" t="s">
        <v>29</v>
      </c>
      <c r="B28" s="20" t="s">
        <v>1141</v>
      </c>
      <c r="C28" s="21">
        <v>9788847027831</v>
      </c>
      <c r="D28" s="22" t="s">
        <v>61</v>
      </c>
      <c r="E28" s="23" t="str">
        <f>HYPERLINK("http://www.springer.com/gp/book/9788847027831","Morality and Corporate Governance: Firm Integrity and Spheres of Justice")</f>
        <v>Morality and Corporate Governance: Firm Integrity and Spheres of Justice</v>
      </c>
      <c r="F28" s="24">
        <v>2013</v>
      </c>
      <c r="G28" s="25" t="s">
        <v>957</v>
      </c>
      <c r="H28" s="70">
        <v>59.07</v>
      </c>
      <c r="I28" s="26">
        <v>20</v>
      </c>
      <c r="J28" s="68">
        <v>47.26</v>
      </c>
      <c r="K28" s="84">
        <v>49.95</v>
      </c>
      <c r="L28" s="85" t="s">
        <v>958</v>
      </c>
      <c r="M28" s="27" t="s">
        <v>995</v>
      </c>
      <c r="N28" s="25"/>
      <c r="O28" s="20" t="s">
        <v>22</v>
      </c>
      <c r="P28" s="25"/>
      <c r="Q28" s="25"/>
    </row>
    <row r="29" spans="1:17" ht="13.5" customHeight="1">
      <c r="A29" s="19" t="s">
        <v>29</v>
      </c>
      <c r="B29" s="20" t="s">
        <v>1141</v>
      </c>
      <c r="C29" s="21">
        <v>9783642280351</v>
      </c>
      <c r="D29" s="22" t="s">
        <v>51</v>
      </c>
      <c r="E29" s="23" t="str">
        <f>HYPERLINK("http://www.springer.com/gp/book/9783642280351","Encyclopedia of Corporate Social Responsibility")</f>
        <v>Encyclopedia of Corporate Social Responsibility</v>
      </c>
      <c r="F29" s="24">
        <v>2013</v>
      </c>
      <c r="G29" s="25" t="s">
        <v>957</v>
      </c>
      <c r="H29" s="70">
        <v>1346.4</v>
      </c>
      <c r="I29" s="26">
        <v>25</v>
      </c>
      <c r="J29" s="68">
        <v>1009.8</v>
      </c>
      <c r="K29" s="84">
        <v>1200</v>
      </c>
      <c r="L29" s="85" t="s">
        <v>958</v>
      </c>
      <c r="M29" s="27" t="s">
        <v>977</v>
      </c>
      <c r="N29" s="25"/>
      <c r="O29" s="20" t="s">
        <v>52</v>
      </c>
      <c r="P29" s="25" t="s">
        <v>1360</v>
      </c>
      <c r="Q29" s="25"/>
    </row>
    <row r="30" spans="1:17" ht="13.5" customHeight="1">
      <c r="A30" s="19" t="s">
        <v>29</v>
      </c>
      <c r="B30" s="20" t="s">
        <v>1135</v>
      </c>
      <c r="C30" s="21">
        <v>9783540897675</v>
      </c>
      <c r="D30" s="22" t="s">
        <v>58</v>
      </c>
      <c r="E30" s="23" t="str">
        <f>HYPERLINK("http://www.springer.com/gp/book/9783540897675","Enterprise Knowledge Infrastructures")</f>
        <v>Enterprise Knowledge Infrastructures</v>
      </c>
      <c r="F30" s="24">
        <v>2009</v>
      </c>
      <c r="G30" s="25" t="s">
        <v>957</v>
      </c>
      <c r="H30" s="70">
        <v>43.74</v>
      </c>
      <c r="I30" s="26">
        <v>25</v>
      </c>
      <c r="J30" s="68">
        <v>32.81</v>
      </c>
      <c r="K30" s="84">
        <v>36.99</v>
      </c>
      <c r="L30" s="85" t="s">
        <v>958</v>
      </c>
      <c r="M30" s="27" t="s">
        <v>995</v>
      </c>
      <c r="N30" s="25" t="s">
        <v>1061</v>
      </c>
      <c r="O30" s="20" t="s">
        <v>22</v>
      </c>
      <c r="P30" s="25"/>
      <c r="Q30" s="25"/>
    </row>
    <row r="31" spans="1:17" ht="13.5" customHeight="1">
      <c r="A31" s="19" t="s">
        <v>29</v>
      </c>
      <c r="B31" s="20" t="s">
        <v>1139</v>
      </c>
      <c r="C31" s="21">
        <v>9781461445890</v>
      </c>
      <c r="D31" s="22" t="s">
        <v>30</v>
      </c>
      <c r="E31" s="23" t="str">
        <f>HYPERLINK("http://www.springer.com/gp/book/9781461445890","Universities in Change")</f>
        <v>Universities in Change</v>
      </c>
      <c r="F31" s="24">
        <v>2013</v>
      </c>
      <c r="G31" s="25" t="s">
        <v>957</v>
      </c>
      <c r="H31" s="70">
        <v>179.01</v>
      </c>
      <c r="I31" s="26">
        <v>20</v>
      </c>
      <c r="J31" s="68">
        <v>143.21</v>
      </c>
      <c r="K31" s="84">
        <v>154.99</v>
      </c>
      <c r="L31" s="85" t="s">
        <v>958</v>
      </c>
      <c r="M31" s="27" t="s">
        <v>977</v>
      </c>
      <c r="N31" s="25"/>
      <c r="O31" s="20" t="s">
        <v>10</v>
      </c>
      <c r="P31" s="25" t="s">
        <v>31</v>
      </c>
      <c r="Q31" s="25" t="s">
        <v>32</v>
      </c>
    </row>
    <row r="32" spans="1:17" ht="13.5" customHeight="1">
      <c r="A32" s="19" t="s">
        <v>29</v>
      </c>
      <c r="B32" s="20" t="s">
        <v>1140</v>
      </c>
      <c r="C32" s="21">
        <v>9783642313707</v>
      </c>
      <c r="D32" s="22" t="s">
        <v>55</v>
      </c>
      <c r="E32" s="23" t="str">
        <f>HYPERLINK("http://www.springer.com/gp/book/9783642313707","Software for People")</f>
        <v>Software for People</v>
      </c>
      <c r="F32" s="24">
        <v>2012</v>
      </c>
      <c r="G32" s="25" t="s">
        <v>957</v>
      </c>
      <c r="H32" s="70">
        <v>94.54</v>
      </c>
      <c r="I32" s="26">
        <v>20</v>
      </c>
      <c r="J32" s="68">
        <v>75.63</v>
      </c>
      <c r="K32" s="84">
        <v>79.95</v>
      </c>
      <c r="L32" s="85" t="s">
        <v>958</v>
      </c>
      <c r="M32" s="27" t="s">
        <v>977</v>
      </c>
      <c r="N32" s="25"/>
      <c r="O32" s="20" t="s">
        <v>10</v>
      </c>
      <c r="P32" s="25" t="s">
        <v>56</v>
      </c>
      <c r="Q32" s="25" t="s">
        <v>57</v>
      </c>
    </row>
    <row r="33" spans="1:17" ht="13.5" customHeight="1">
      <c r="A33" s="19" t="s">
        <v>29</v>
      </c>
      <c r="B33" s="20" t="s">
        <v>1140</v>
      </c>
      <c r="C33" s="21">
        <v>9783642328756</v>
      </c>
      <c r="D33" s="22" t="s">
        <v>42</v>
      </c>
      <c r="E33" s="23" t="str">
        <f>HYPERLINK("http://www.springer.com/gp/book/9783642328756","Innovation from Information Systems")</f>
        <v>Innovation from Information Systems</v>
      </c>
      <c r="F33" s="24">
        <v>2013</v>
      </c>
      <c r="G33" s="25" t="s">
        <v>957</v>
      </c>
      <c r="H33" s="70">
        <v>59.07</v>
      </c>
      <c r="I33" s="26">
        <v>20</v>
      </c>
      <c r="J33" s="68">
        <v>47.26</v>
      </c>
      <c r="K33" s="84">
        <v>49.95</v>
      </c>
      <c r="L33" s="85" t="s">
        <v>958</v>
      </c>
      <c r="M33" s="27" t="s">
        <v>995</v>
      </c>
      <c r="N33" s="25"/>
      <c r="O33" s="20" t="s">
        <v>44</v>
      </c>
      <c r="P33" s="25" t="s">
        <v>43</v>
      </c>
      <c r="Q33" s="25" t="s">
        <v>45</v>
      </c>
    </row>
    <row r="34" spans="1:17" ht="13.5" customHeight="1">
      <c r="A34" s="19" t="s">
        <v>29</v>
      </c>
      <c r="B34" s="20" t="s">
        <v>1140</v>
      </c>
      <c r="C34" s="21">
        <v>9781461452355</v>
      </c>
      <c r="D34" s="22" t="s">
        <v>33</v>
      </c>
      <c r="E34" s="23" t="str">
        <f>HYPERLINK("http://www.springer.com/gp/book/9781461452355","Enterprise Information Management")</f>
        <v>Enterprise Information Management</v>
      </c>
      <c r="F34" s="24">
        <v>2013</v>
      </c>
      <c r="G34" s="25" t="s">
        <v>957</v>
      </c>
      <c r="H34" s="70">
        <v>88.68</v>
      </c>
      <c r="I34" s="26">
        <v>20</v>
      </c>
      <c r="J34" s="68">
        <v>70.94</v>
      </c>
      <c r="K34" s="84">
        <v>74.99</v>
      </c>
      <c r="L34" s="85" t="s">
        <v>958</v>
      </c>
      <c r="M34" s="27" t="s">
        <v>977</v>
      </c>
      <c r="N34" s="25"/>
      <c r="O34" s="20" t="s">
        <v>28</v>
      </c>
      <c r="P34" s="25" t="s">
        <v>34</v>
      </c>
      <c r="Q34" s="25" t="s">
        <v>35</v>
      </c>
    </row>
    <row r="35" spans="1:17" ht="13.5" customHeight="1">
      <c r="A35" s="19" t="s">
        <v>29</v>
      </c>
      <c r="B35" s="20" t="s">
        <v>1134</v>
      </c>
      <c r="C35" s="21">
        <v>9783540432784</v>
      </c>
      <c r="D35" s="22" t="s">
        <v>53</v>
      </c>
      <c r="E35" s="23" t="str">
        <f>HYPERLINK("http://www.springer.com/gp/book/9783540432784","Produktbegleitende Dienstleistungen")</f>
        <v>Produktbegleitende Dienstleistungen</v>
      </c>
      <c r="F35" s="24">
        <v>2002</v>
      </c>
      <c r="G35" s="25" t="s">
        <v>957</v>
      </c>
      <c r="H35" s="70">
        <v>71.83</v>
      </c>
      <c r="I35" s="26">
        <v>30</v>
      </c>
      <c r="J35" s="68">
        <v>50.28</v>
      </c>
      <c r="K35" s="84">
        <v>60.74</v>
      </c>
      <c r="L35" s="85" t="s">
        <v>958</v>
      </c>
      <c r="M35" s="27" t="s">
        <v>977</v>
      </c>
      <c r="N35" s="25"/>
      <c r="O35" s="20" t="s">
        <v>3</v>
      </c>
      <c r="P35" s="25" t="s">
        <v>54</v>
      </c>
      <c r="Q35" s="25"/>
    </row>
    <row r="36" spans="1:17" s="6" customFormat="1" ht="13.5" customHeight="1">
      <c r="A36" s="19" t="s">
        <v>29</v>
      </c>
      <c r="B36" s="20" t="s">
        <v>1136</v>
      </c>
      <c r="C36" s="21">
        <v>9783834914200</v>
      </c>
      <c r="D36" s="22" t="s">
        <v>59</v>
      </c>
      <c r="E36" s="23" t="str">
        <f>HYPERLINK("http://www.springer.com/gp/book/9783834914200","Diversity in European Marketing")</f>
        <v>Diversity in European Marketing</v>
      </c>
      <c r="F36" s="24">
        <v>2012</v>
      </c>
      <c r="G36" s="25" t="s">
        <v>957</v>
      </c>
      <c r="H36" s="70">
        <v>59.07</v>
      </c>
      <c r="I36" s="26">
        <v>20</v>
      </c>
      <c r="J36" s="68">
        <v>47.26</v>
      </c>
      <c r="K36" s="84">
        <v>49.95</v>
      </c>
      <c r="L36" s="85" t="s">
        <v>958</v>
      </c>
      <c r="M36" s="27" t="s">
        <v>995</v>
      </c>
      <c r="N36" s="25"/>
      <c r="O36" s="20" t="s">
        <v>22</v>
      </c>
      <c r="P36" s="25" t="s">
        <v>60</v>
      </c>
      <c r="Q36" s="25"/>
    </row>
    <row r="37" spans="1:17" ht="13.5" customHeight="1">
      <c r="A37" s="19" t="s">
        <v>29</v>
      </c>
      <c r="B37" s="20" t="s">
        <v>1142</v>
      </c>
      <c r="C37" s="21">
        <v>9783540716525</v>
      </c>
      <c r="D37" s="22" t="s">
        <v>26</v>
      </c>
      <c r="E37" s="23" t="str">
        <f>HYPERLINK("http://www.springer.com/gp/book/9783540716525","Global Production")</f>
        <v>Global Production</v>
      </c>
      <c r="F37" s="24">
        <v>2008</v>
      </c>
      <c r="G37" s="25" t="s">
        <v>957</v>
      </c>
      <c r="H37" s="70">
        <v>106.41</v>
      </c>
      <c r="I37" s="26">
        <v>25</v>
      </c>
      <c r="J37" s="68">
        <v>79.81</v>
      </c>
      <c r="K37" s="84">
        <v>89.99</v>
      </c>
      <c r="L37" s="85" t="s">
        <v>958</v>
      </c>
      <c r="M37" s="27" t="s">
        <v>977</v>
      </c>
      <c r="N37" s="25"/>
      <c r="O37" s="20" t="s">
        <v>28</v>
      </c>
      <c r="P37" s="25" t="s">
        <v>27</v>
      </c>
      <c r="Q37" s="25"/>
    </row>
    <row r="38" spans="1:17" ht="13.5" customHeight="1">
      <c r="A38" s="19" t="s">
        <v>29</v>
      </c>
      <c r="B38" s="20" t="s">
        <v>1142</v>
      </c>
      <c r="C38" s="21">
        <v>9788847025301</v>
      </c>
      <c r="D38" s="22" t="s">
        <v>39</v>
      </c>
      <c r="E38" s="23" t="str">
        <f>HYPERLINK("http://www.springer.com/gp/book/9788847025301","Risk Management")</f>
        <v>Risk Management</v>
      </c>
      <c r="F38" s="24">
        <v>2013</v>
      </c>
      <c r="G38" s="25" t="s">
        <v>957</v>
      </c>
      <c r="H38" s="70">
        <v>59.07</v>
      </c>
      <c r="I38" s="26">
        <v>20</v>
      </c>
      <c r="J38" s="68">
        <v>47.26</v>
      </c>
      <c r="K38" s="84">
        <v>49.95</v>
      </c>
      <c r="L38" s="85" t="s">
        <v>958</v>
      </c>
      <c r="M38" s="27" t="s">
        <v>977</v>
      </c>
      <c r="N38" s="25"/>
      <c r="O38" s="20" t="s">
        <v>3</v>
      </c>
      <c r="P38" s="25" t="s">
        <v>40</v>
      </c>
      <c r="Q38" s="25" t="s">
        <v>41</v>
      </c>
    </row>
    <row r="39" spans="1:17" s="6" customFormat="1" ht="13.5" customHeight="1">
      <c r="A39" s="19" t="s">
        <v>29</v>
      </c>
      <c r="B39" s="20" t="s">
        <v>1137</v>
      </c>
      <c r="C39" s="21">
        <v>9783642213557</v>
      </c>
      <c r="D39" s="22" t="s">
        <v>36</v>
      </c>
      <c r="E39" s="23" t="str">
        <f>HYPERLINK("http://www.springer.com/gp/book/9783642213557","Modernizing Processes in Public Administrations")</f>
        <v>Modernizing Processes in Public Administrations</v>
      </c>
      <c r="F39" s="24">
        <v>2012</v>
      </c>
      <c r="G39" s="25" t="s">
        <v>957</v>
      </c>
      <c r="H39" s="70">
        <v>94.54</v>
      </c>
      <c r="I39" s="26">
        <v>20</v>
      </c>
      <c r="J39" s="68">
        <v>75.63</v>
      </c>
      <c r="K39" s="84">
        <v>79.95</v>
      </c>
      <c r="L39" s="85" t="s">
        <v>958</v>
      </c>
      <c r="M39" s="27" t="s">
        <v>977</v>
      </c>
      <c r="N39" s="25"/>
      <c r="O39" s="20" t="s">
        <v>3</v>
      </c>
      <c r="P39" s="25" t="s">
        <v>37</v>
      </c>
      <c r="Q39" s="25" t="s">
        <v>38</v>
      </c>
    </row>
    <row r="40" spans="1:17" ht="13.5" customHeight="1">
      <c r="A40" s="19" t="s">
        <v>29</v>
      </c>
      <c r="B40" s="20" t="s">
        <v>1137</v>
      </c>
      <c r="C40" s="21">
        <v>9783642292439</v>
      </c>
      <c r="D40" s="22" t="s">
        <v>49</v>
      </c>
      <c r="E40" s="23" t="str">
        <f>HYPERLINK("http://www.springer.com/gp/book/9783642292439","Systemic Management for Intelligent Organizations")</f>
        <v>Systemic Management for Intelligent Organizations</v>
      </c>
      <c r="F40" s="24">
        <v>2012</v>
      </c>
      <c r="G40" s="25" t="s">
        <v>957</v>
      </c>
      <c r="H40" s="70">
        <v>132.81</v>
      </c>
      <c r="I40" s="26">
        <v>20</v>
      </c>
      <c r="J40" s="68">
        <v>106.25</v>
      </c>
      <c r="K40" s="84">
        <v>114.99</v>
      </c>
      <c r="L40" s="85" t="s">
        <v>958</v>
      </c>
      <c r="M40" s="27" t="s">
        <v>977</v>
      </c>
      <c r="N40" s="25"/>
      <c r="O40" s="20" t="s">
        <v>10</v>
      </c>
      <c r="P40" s="25" t="s">
        <v>50</v>
      </c>
      <c r="Q40" s="25"/>
    </row>
    <row r="41" spans="1:17" ht="13.5" customHeight="1">
      <c r="A41" s="28" t="s">
        <v>29</v>
      </c>
      <c r="B41" s="27" t="s">
        <v>1067</v>
      </c>
      <c r="C41" s="29">
        <v>9783540687351</v>
      </c>
      <c r="D41" s="30" t="s">
        <v>1031</v>
      </c>
      <c r="E41" s="31" t="s">
        <v>1032</v>
      </c>
      <c r="F41" s="32">
        <v>2008</v>
      </c>
      <c r="G41" s="33" t="s">
        <v>957</v>
      </c>
      <c r="H41" s="71">
        <v>50.55</v>
      </c>
      <c r="I41" s="26">
        <v>25</v>
      </c>
      <c r="J41" s="68">
        <v>37.91</v>
      </c>
      <c r="K41" s="86">
        <v>42.75</v>
      </c>
      <c r="L41" s="87" t="s">
        <v>958</v>
      </c>
      <c r="M41" s="27" t="s">
        <v>995</v>
      </c>
      <c r="N41" s="29"/>
      <c r="O41" s="20" t="s">
        <v>3</v>
      </c>
      <c r="P41" s="27"/>
      <c r="Q41" s="27"/>
    </row>
    <row r="42" spans="1:17" ht="13.5" customHeight="1">
      <c r="A42" s="19" t="s">
        <v>29</v>
      </c>
      <c r="B42" s="27" t="s">
        <v>1067</v>
      </c>
      <c r="C42" s="29">
        <v>9780387744025</v>
      </c>
      <c r="D42" s="30" t="s">
        <v>959</v>
      </c>
      <c r="E42" s="31" t="s">
        <v>960</v>
      </c>
      <c r="F42" s="32">
        <v>2009</v>
      </c>
      <c r="G42" s="33" t="s">
        <v>957</v>
      </c>
      <c r="H42" s="71">
        <v>75.86</v>
      </c>
      <c r="I42" s="26">
        <v>25</v>
      </c>
      <c r="J42" s="68">
        <v>56.9</v>
      </c>
      <c r="K42" s="86">
        <v>64.15</v>
      </c>
      <c r="L42" s="87" t="s">
        <v>958</v>
      </c>
      <c r="M42" s="27" t="s">
        <v>995</v>
      </c>
      <c r="N42" s="29"/>
      <c r="O42" s="20" t="s">
        <v>3</v>
      </c>
      <c r="P42" s="27"/>
      <c r="Q42" s="27"/>
    </row>
    <row r="43" spans="1:17" ht="13.5" customHeight="1">
      <c r="A43" s="19" t="s">
        <v>189</v>
      </c>
      <c r="B43" s="20" t="s">
        <v>1181</v>
      </c>
      <c r="C43" s="21">
        <v>9783540647706</v>
      </c>
      <c r="D43" s="22" t="s">
        <v>221</v>
      </c>
      <c r="E43" s="23" t="str">
        <f>HYPERLINK("http://www.springer.com/gp/book/9783540647706","Intelligent Tutoring Systems")</f>
        <v>Intelligent Tutoring Systems</v>
      </c>
      <c r="F43" s="24">
        <v>1998</v>
      </c>
      <c r="G43" s="25" t="s">
        <v>957</v>
      </c>
      <c r="H43" s="70">
        <v>94.59</v>
      </c>
      <c r="I43" s="26">
        <v>30</v>
      </c>
      <c r="J43" s="68">
        <v>66.21</v>
      </c>
      <c r="K43" s="84">
        <v>79.99</v>
      </c>
      <c r="L43" s="85" t="s">
        <v>958</v>
      </c>
      <c r="M43" s="27" t="s">
        <v>995</v>
      </c>
      <c r="N43" s="25"/>
      <c r="O43" s="20" t="s">
        <v>213</v>
      </c>
      <c r="P43" s="25" t="s">
        <v>222</v>
      </c>
      <c r="Q43" s="25" t="s">
        <v>223</v>
      </c>
    </row>
    <row r="44" spans="1:17" ht="13.5" customHeight="1">
      <c r="A44" s="19" t="s">
        <v>189</v>
      </c>
      <c r="B44" s="20" t="s">
        <v>1181</v>
      </c>
      <c r="C44" s="21">
        <v>9783540436010</v>
      </c>
      <c r="D44" s="22" t="s">
        <v>256</v>
      </c>
      <c r="E44" s="23" t="str">
        <f>HYPERLINK("http://www.springer.com/gp/book/9783540436010","Membrane Computing")</f>
        <v>Membrane Computing</v>
      </c>
      <c r="F44" s="24">
        <v>2002</v>
      </c>
      <c r="G44" s="25" t="s">
        <v>957</v>
      </c>
      <c r="H44" s="70">
        <v>94.54</v>
      </c>
      <c r="I44" s="26">
        <v>30</v>
      </c>
      <c r="J44" s="68">
        <v>66.18</v>
      </c>
      <c r="K44" s="84">
        <v>79.95</v>
      </c>
      <c r="L44" s="85" t="s">
        <v>958</v>
      </c>
      <c r="M44" s="27" t="s">
        <v>977</v>
      </c>
      <c r="N44" s="25"/>
      <c r="O44" s="20" t="s">
        <v>3</v>
      </c>
      <c r="P44" s="25" t="s">
        <v>257</v>
      </c>
      <c r="Q44" s="25" t="s">
        <v>258</v>
      </c>
    </row>
    <row r="45" spans="1:17" ht="13.5" customHeight="1">
      <c r="A45" s="19" t="s">
        <v>189</v>
      </c>
      <c r="B45" s="20" t="s">
        <v>1181</v>
      </c>
      <c r="C45" s="21">
        <v>9783540705338</v>
      </c>
      <c r="D45" s="22" t="s">
        <v>207</v>
      </c>
      <c r="E45" s="23" t="str">
        <f>HYPERLINK("http://www.springer.com/gp/book/9783540705338","Embedded Robotics")</f>
        <v>Embedded Robotics</v>
      </c>
      <c r="F45" s="24">
        <v>2008</v>
      </c>
      <c r="G45" s="25" t="s">
        <v>957</v>
      </c>
      <c r="H45" s="70">
        <v>64.98</v>
      </c>
      <c r="I45" s="26">
        <v>25</v>
      </c>
      <c r="J45" s="68">
        <v>48.74</v>
      </c>
      <c r="K45" s="84">
        <v>54.95</v>
      </c>
      <c r="L45" s="85" t="s">
        <v>958</v>
      </c>
      <c r="M45" s="27" t="s">
        <v>995</v>
      </c>
      <c r="N45" s="25" t="s">
        <v>1054</v>
      </c>
      <c r="O45" s="20" t="s">
        <v>22</v>
      </c>
      <c r="P45" s="25" t="s">
        <v>208</v>
      </c>
      <c r="Q45" s="25"/>
    </row>
    <row r="46" spans="1:17" ht="13.5" customHeight="1">
      <c r="A46" s="19" t="s">
        <v>189</v>
      </c>
      <c r="B46" s="20" t="s">
        <v>1181</v>
      </c>
      <c r="C46" s="21">
        <v>9781848003965</v>
      </c>
      <c r="D46" s="22" t="s">
        <v>246</v>
      </c>
      <c r="E46" s="23" t="str">
        <f>HYPERLINK("http://www.springer.com/gp/book/9781848003965","Robot Behaviour")</f>
        <v>Robot Behaviour</v>
      </c>
      <c r="F46" s="24">
        <v>2009</v>
      </c>
      <c r="G46" s="25" t="s">
        <v>957</v>
      </c>
      <c r="H46" s="70">
        <v>55.52</v>
      </c>
      <c r="I46" s="26">
        <v>25</v>
      </c>
      <c r="J46" s="68">
        <v>41.64</v>
      </c>
      <c r="K46" s="84">
        <v>46.95</v>
      </c>
      <c r="L46" s="85" t="s">
        <v>958</v>
      </c>
      <c r="M46" s="27" t="s">
        <v>995</v>
      </c>
      <c r="N46" s="25"/>
      <c r="O46" s="20" t="s">
        <v>22</v>
      </c>
      <c r="P46" s="25" t="s">
        <v>247</v>
      </c>
      <c r="Q46" s="25"/>
    </row>
    <row r="47" spans="1:17" ht="13.5" customHeight="1">
      <c r="A47" s="19" t="s">
        <v>189</v>
      </c>
      <c r="B47" s="20" t="s">
        <v>1181</v>
      </c>
      <c r="C47" s="21">
        <v>9783540732624</v>
      </c>
      <c r="D47" s="22" t="s">
        <v>204</v>
      </c>
      <c r="E47" s="23" t="str">
        <f>HYPERLINK("http://www.springer.com/gp/book/9783540732624","Metalearning")</f>
        <v>Metalearning</v>
      </c>
      <c r="F47" s="24">
        <v>2009</v>
      </c>
      <c r="G47" s="25" t="s">
        <v>957</v>
      </c>
      <c r="H47" s="70">
        <v>76.8</v>
      </c>
      <c r="I47" s="26">
        <v>25</v>
      </c>
      <c r="J47" s="68">
        <v>57.6</v>
      </c>
      <c r="K47" s="84">
        <v>64.95</v>
      </c>
      <c r="L47" s="85" t="s">
        <v>958</v>
      </c>
      <c r="M47" s="27" t="s">
        <v>977</v>
      </c>
      <c r="N47" s="25"/>
      <c r="O47" s="20" t="s">
        <v>22</v>
      </c>
      <c r="P47" s="25" t="s">
        <v>205</v>
      </c>
      <c r="Q47" s="25" t="s">
        <v>206</v>
      </c>
    </row>
    <row r="48" spans="1:17" ht="13.5" customHeight="1">
      <c r="A48" s="19" t="s">
        <v>189</v>
      </c>
      <c r="B48" s="20" t="s">
        <v>1181</v>
      </c>
      <c r="C48" s="21">
        <v>9780857292988</v>
      </c>
      <c r="D48" s="22" t="s">
        <v>218</v>
      </c>
      <c r="E48" s="23" t="str">
        <f>HYPERLINK("http://www.springer.com/gp/book/9780857292988","Introduction to Artificial Intelligence")</f>
        <v>Introduction to Artificial Intelligence</v>
      </c>
      <c r="F48" s="24">
        <v>2011</v>
      </c>
      <c r="G48" s="25" t="s">
        <v>957</v>
      </c>
      <c r="H48" s="70">
        <v>41.33</v>
      </c>
      <c r="I48" s="26">
        <v>25</v>
      </c>
      <c r="J48" s="68">
        <v>31</v>
      </c>
      <c r="K48" s="84">
        <v>34.95</v>
      </c>
      <c r="L48" s="85" t="s">
        <v>958</v>
      </c>
      <c r="M48" s="27" t="s">
        <v>995</v>
      </c>
      <c r="N48" s="25"/>
      <c r="O48" s="20" t="s">
        <v>183</v>
      </c>
      <c r="P48" s="25"/>
      <c r="Q48" s="25" t="s">
        <v>217</v>
      </c>
    </row>
    <row r="49" spans="1:17" ht="13.5" customHeight="1">
      <c r="A49" s="19" t="s">
        <v>189</v>
      </c>
      <c r="B49" s="20" t="s">
        <v>1187</v>
      </c>
      <c r="C49" s="21">
        <v>9781848002722</v>
      </c>
      <c r="D49" s="22" t="s">
        <v>200</v>
      </c>
      <c r="E49" s="23" t="str">
        <f>HYPERLINK("http://www.springer.com/gp/book/9781848002722","Codes: An Introduction to Information Communication and Cryptography")</f>
        <v>Codes: An Introduction to Information Communication and Cryptography</v>
      </c>
      <c r="F49" s="24">
        <v>2008</v>
      </c>
      <c r="G49" s="25" t="s">
        <v>957</v>
      </c>
      <c r="H49" s="70">
        <v>41.33</v>
      </c>
      <c r="I49" s="26">
        <v>25</v>
      </c>
      <c r="J49" s="68">
        <v>31</v>
      </c>
      <c r="K49" s="84">
        <v>34.95</v>
      </c>
      <c r="L49" s="85" t="s">
        <v>958</v>
      </c>
      <c r="M49" s="27" t="s">
        <v>995</v>
      </c>
      <c r="N49" s="25"/>
      <c r="O49" s="20" t="s">
        <v>183</v>
      </c>
      <c r="P49" s="25"/>
      <c r="Q49" s="25" t="s">
        <v>201</v>
      </c>
    </row>
    <row r="50" spans="1:17" ht="13.5" customHeight="1">
      <c r="A50" s="19" t="s">
        <v>189</v>
      </c>
      <c r="B50" s="20" t="s">
        <v>1182</v>
      </c>
      <c r="C50" s="21">
        <v>9783540371892</v>
      </c>
      <c r="D50" s="22" t="s">
        <v>211</v>
      </c>
      <c r="E50" s="23" t="str">
        <f>HYPERLINK("http://www.springer.com/gp/book/9783540371892","Wireless Algorithms, Systems, and Applications")</f>
        <v>Wireless Algorithms, Systems, and Applications</v>
      </c>
      <c r="F50" s="24">
        <v>2006</v>
      </c>
      <c r="G50" s="25" t="s">
        <v>957</v>
      </c>
      <c r="H50" s="70">
        <v>150.14</v>
      </c>
      <c r="I50" s="26">
        <v>30</v>
      </c>
      <c r="J50" s="68">
        <v>105.1</v>
      </c>
      <c r="K50" s="84">
        <v>129.99</v>
      </c>
      <c r="L50" s="85" t="s">
        <v>958</v>
      </c>
      <c r="M50" s="27" t="s">
        <v>995</v>
      </c>
      <c r="N50" s="25"/>
      <c r="O50" s="20" t="s">
        <v>213</v>
      </c>
      <c r="P50" s="25" t="s">
        <v>212</v>
      </c>
      <c r="Q50" s="25" t="s">
        <v>214</v>
      </c>
    </row>
    <row r="51" spans="1:17" ht="13.5" customHeight="1">
      <c r="A51" s="19" t="s">
        <v>189</v>
      </c>
      <c r="B51" s="20" t="s">
        <v>1177</v>
      </c>
      <c r="C51" s="21">
        <v>9781447146025</v>
      </c>
      <c r="D51" s="22" t="s">
        <v>227</v>
      </c>
      <c r="E51" s="23" t="str">
        <f>HYPERLINK("http://www.springer.com/gp/book/9781447146025","Guide to Cloud Computing")</f>
        <v>Guide to Cloud Computing</v>
      </c>
      <c r="F51" s="24">
        <v>2013</v>
      </c>
      <c r="G51" s="25" t="s">
        <v>957</v>
      </c>
      <c r="H51" s="70">
        <v>100.45</v>
      </c>
      <c r="I51" s="26">
        <v>20</v>
      </c>
      <c r="J51" s="68">
        <v>80.36</v>
      </c>
      <c r="K51" s="84">
        <v>84.95</v>
      </c>
      <c r="L51" s="85" t="s">
        <v>958</v>
      </c>
      <c r="M51" s="27" t="s">
        <v>977</v>
      </c>
      <c r="N51" s="25"/>
      <c r="O51" s="20" t="s">
        <v>22</v>
      </c>
      <c r="P51" s="25" t="s">
        <v>228</v>
      </c>
      <c r="Q51" s="25" t="s">
        <v>229</v>
      </c>
    </row>
    <row r="52" spans="1:17" ht="13.5" customHeight="1">
      <c r="A52" s="19" t="s">
        <v>189</v>
      </c>
      <c r="B52" s="20" t="s">
        <v>1188</v>
      </c>
      <c r="C52" s="21">
        <v>9783642191923</v>
      </c>
      <c r="D52" s="22" t="s">
        <v>219</v>
      </c>
      <c r="E52" s="23" t="str">
        <f>HYPERLINK("http://www.springer.com/gp/book/9783642191923","Semantic Web Services")</f>
        <v>Semantic Web Services</v>
      </c>
      <c r="F52" s="24">
        <v>2011</v>
      </c>
      <c r="G52" s="25" t="s">
        <v>957</v>
      </c>
      <c r="H52" s="70">
        <v>64.98</v>
      </c>
      <c r="I52" s="26">
        <v>25</v>
      </c>
      <c r="J52" s="68">
        <v>48.74</v>
      </c>
      <c r="K52" s="84">
        <v>54.95</v>
      </c>
      <c r="L52" s="85" t="s">
        <v>958</v>
      </c>
      <c r="M52" s="27" t="s">
        <v>977</v>
      </c>
      <c r="N52" s="25"/>
      <c r="O52" s="20" t="s">
        <v>22</v>
      </c>
      <c r="P52" s="25"/>
      <c r="Q52" s="25"/>
    </row>
    <row r="53" spans="1:17" ht="13.5" customHeight="1">
      <c r="A53" s="19" t="s">
        <v>189</v>
      </c>
      <c r="B53" s="20" t="s">
        <v>1188</v>
      </c>
      <c r="C53" s="21">
        <v>9781461417668</v>
      </c>
      <c r="D53" s="22" t="s">
        <v>274</v>
      </c>
      <c r="E53" s="23" t="str">
        <f>HYPERLINK("http://www.springer.com/gp/book/9781461417668","Linking Government Data")</f>
        <v>Linking Government Data</v>
      </c>
      <c r="F53" s="24">
        <v>2011</v>
      </c>
      <c r="G53" s="25" t="s">
        <v>957</v>
      </c>
      <c r="H53" s="70">
        <v>94.54</v>
      </c>
      <c r="I53" s="26">
        <v>25</v>
      </c>
      <c r="J53" s="68">
        <v>70.91</v>
      </c>
      <c r="K53" s="84">
        <v>79.95</v>
      </c>
      <c r="L53" s="85" t="s">
        <v>958</v>
      </c>
      <c r="M53" s="27" t="s">
        <v>977</v>
      </c>
      <c r="N53" s="25"/>
      <c r="O53" s="20" t="s">
        <v>28</v>
      </c>
      <c r="P53" s="25"/>
      <c r="Q53" s="25"/>
    </row>
    <row r="54" spans="1:17" ht="13.5" customHeight="1">
      <c r="A54" s="19" t="s">
        <v>189</v>
      </c>
      <c r="B54" s="20" t="s">
        <v>1188</v>
      </c>
      <c r="C54" s="21">
        <v>9781441994455</v>
      </c>
      <c r="D54" s="22" t="s">
        <v>187</v>
      </c>
      <c r="E54" s="23" t="str">
        <f>HYPERLINK("http://www.springer.com/gp/book/9781441994455","Geospatial Semantics and the Semantic Web")</f>
        <v>Geospatial Semantics and the Semantic Web</v>
      </c>
      <c r="F54" s="24">
        <v>2011</v>
      </c>
      <c r="G54" s="25" t="s">
        <v>957</v>
      </c>
      <c r="H54" s="70">
        <v>106.41</v>
      </c>
      <c r="I54" s="26">
        <v>25</v>
      </c>
      <c r="J54" s="68">
        <v>79.81</v>
      </c>
      <c r="K54" s="84">
        <v>89.99</v>
      </c>
      <c r="L54" s="85" t="s">
        <v>958</v>
      </c>
      <c r="M54" s="27" t="s">
        <v>977</v>
      </c>
      <c r="N54" s="25"/>
      <c r="O54" s="20" t="s">
        <v>28</v>
      </c>
      <c r="P54" s="25" t="s">
        <v>188</v>
      </c>
      <c r="Q54" s="25" t="s">
        <v>190</v>
      </c>
    </row>
    <row r="55" spans="1:17" ht="13.5" customHeight="1">
      <c r="A55" s="19" t="s">
        <v>189</v>
      </c>
      <c r="B55" s="20" t="s">
        <v>1189</v>
      </c>
      <c r="C55" s="21">
        <v>9783642306839</v>
      </c>
      <c r="D55" s="22" t="s">
        <v>261</v>
      </c>
      <c r="E55" s="23" t="str">
        <f>HYPERLINK("http://www.springer.com/gp/book/9783642306839","The English Language in the Digital Age")</f>
        <v>The English Language in the Digital Age</v>
      </c>
      <c r="F55" s="24">
        <v>2012</v>
      </c>
      <c r="G55" s="25" t="s">
        <v>957</v>
      </c>
      <c r="H55" s="70">
        <v>59.07</v>
      </c>
      <c r="I55" s="26">
        <v>20</v>
      </c>
      <c r="J55" s="68">
        <v>47.26</v>
      </c>
      <c r="K55" s="84">
        <v>49.95</v>
      </c>
      <c r="L55" s="85" t="s">
        <v>958</v>
      </c>
      <c r="M55" s="27" t="s">
        <v>995</v>
      </c>
      <c r="N55" s="25"/>
      <c r="O55" s="20" t="s">
        <v>10</v>
      </c>
      <c r="P55" s="25"/>
      <c r="Q55" s="25" t="s">
        <v>262</v>
      </c>
    </row>
    <row r="56" spans="1:17" ht="13.5" customHeight="1">
      <c r="A56" s="19" t="s">
        <v>189</v>
      </c>
      <c r="B56" s="20" t="s">
        <v>1189</v>
      </c>
      <c r="C56" s="21">
        <v>9783642303692</v>
      </c>
      <c r="D56" s="22" t="s">
        <v>261</v>
      </c>
      <c r="E56" s="23" t="str">
        <f>HYPERLINK("http://www.springer.com/gp/book/9783642303692","The Slovak Language in the Digital Age")</f>
        <v>The Slovak Language in the Digital Age</v>
      </c>
      <c r="F56" s="24">
        <v>2012</v>
      </c>
      <c r="G56" s="25" t="s">
        <v>957</v>
      </c>
      <c r="H56" s="70">
        <v>161.69</v>
      </c>
      <c r="I56" s="26">
        <v>20</v>
      </c>
      <c r="J56" s="68">
        <v>129.35</v>
      </c>
      <c r="K56" s="84">
        <v>139.99</v>
      </c>
      <c r="L56" s="85" t="s">
        <v>958</v>
      </c>
      <c r="M56" s="27" t="s">
        <v>995</v>
      </c>
      <c r="N56" s="25"/>
      <c r="O56" s="20" t="s">
        <v>10</v>
      </c>
      <c r="P56" s="25"/>
      <c r="Q56" s="25" t="s">
        <v>262</v>
      </c>
    </row>
    <row r="57" spans="1:17" ht="13.5" customHeight="1">
      <c r="A57" s="19" t="s">
        <v>189</v>
      </c>
      <c r="B57" s="20" t="s">
        <v>1179</v>
      </c>
      <c r="C57" s="21">
        <v>9781447145332</v>
      </c>
      <c r="D57" s="22" t="s">
        <v>251</v>
      </c>
      <c r="E57" s="23" t="str">
        <f>HYPERLINK("http://www.springer.com/gp/book/9781447145332","Mathematics in Computing")</f>
        <v>Mathematics in Computing</v>
      </c>
      <c r="F57" s="24">
        <v>2013</v>
      </c>
      <c r="G57" s="25" t="s">
        <v>957</v>
      </c>
      <c r="H57" s="70">
        <v>53.15</v>
      </c>
      <c r="I57" s="26">
        <v>20</v>
      </c>
      <c r="J57" s="68">
        <v>42.52</v>
      </c>
      <c r="K57" s="84">
        <v>44.95</v>
      </c>
      <c r="L57" s="85" t="s">
        <v>958</v>
      </c>
      <c r="M57" s="27" t="s">
        <v>977</v>
      </c>
      <c r="N57" s="25"/>
      <c r="O57" s="20" t="s">
        <v>183</v>
      </c>
      <c r="P57" s="25" t="s">
        <v>252</v>
      </c>
      <c r="Q57" s="25"/>
    </row>
    <row r="58" spans="1:17" ht="13.5" customHeight="1">
      <c r="A58" s="19" t="s">
        <v>189</v>
      </c>
      <c r="B58" s="20" t="s">
        <v>1178</v>
      </c>
      <c r="C58" s="21">
        <v>9783642298394</v>
      </c>
      <c r="D58" s="22" t="s">
        <v>253</v>
      </c>
      <c r="E58" s="23" t="str">
        <f>HYPERLINK("http://www.springer.com/gp/book/9783642298394","Mathematics of Discrete Structures for Computer Science")</f>
        <v>Mathematics of Discrete Structures for Computer Science</v>
      </c>
      <c r="F58" s="24">
        <v>2012</v>
      </c>
      <c r="G58" s="25" t="s">
        <v>957</v>
      </c>
      <c r="H58" s="70">
        <v>53.15</v>
      </c>
      <c r="I58" s="26">
        <v>20</v>
      </c>
      <c r="J58" s="68">
        <v>42.52</v>
      </c>
      <c r="K58" s="84">
        <v>44.95</v>
      </c>
      <c r="L58" s="85" t="s">
        <v>958</v>
      </c>
      <c r="M58" s="27" t="s">
        <v>977</v>
      </c>
      <c r="N58" s="25"/>
      <c r="O58" s="20" t="s">
        <v>22</v>
      </c>
      <c r="P58" s="25"/>
      <c r="Q58" s="25"/>
    </row>
    <row r="59" spans="1:17" ht="13.5" customHeight="1">
      <c r="A59" s="19" t="s">
        <v>189</v>
      </c>
      <c r="B59" s="20" t="s">
        <v>1190</v>
      </c>
      <c r="C59" s="21">
        <v>9781447146513</v>
      </c>
      <c r="D59" s="22" t="s">
        <v>266</v>
      </c>
      <c r="E59" s="23" t="str">
        <f>HYPERLINK("http://www.springer.com/gp/book/9781447146513","Imaging Spectroscopy for Scene Analysis")</f>
        <v>Imaging Spectroscopy for Scene Analysis</v>
      </c>
      <c r="F59" s="24">
        <v>2013</v>
      </c>
      <c r="G59" s="25" t="s">
        <v>957</v>
      </c>
      <c r="H59" s="70">
        <v>127.04</v>
      </c>
      <c r="I59" s="26">
        <v>20</v>
      </c>
      <c r="J59" s="68">
        <v>101.63</v>
      </c>
      <c r="K59" s="84">
        <v>109.99</v>
      </c>
      <c r="L59" s="85" t="s">
        <v>958</v>
      </c>
      <c r="M59" s="27" t="s">
        <v>977</v>
      </c>
      <c r="N59" s="25"/>
      <c r="O59" s="20" t="s">
        <v>3</v>
      </c>
      <c r="P59" s="25"/>
      <c r="Q59" s="25" t="s">
        <v>267</v>
      </c>
    </row>
    <row r="60" spans="1:17" ht="13.5" customHeight="1">
      <c r="A60" s="19" t="s">
        <v>189</v>
      </c>
      <c r="B60" s="20" t="s">
        <v>1333</v>
      </c>
      <c r="C60" s="21">
        <v>9783540665403</v>
      </c>
      <c r="D60" s="22" t="s">
        <v>243</v>
      </c>
      <c r="E60" s="23" t="str">
        <f>HYPERLINK("http://www.springer.com/gp/book/9783540665403","Principles and Practice of Declarative Programming")</f>
        <v>Principles and Practice of Declarative Programming</v>
      </c>
      <c r="F60" s="24">
        <v>1999</v>
      </c>
      <c r="G60" s="25" t="s">
        <v>957</v>
      </c>
      <c r="H60" s="70">
        <v>102.87</v>
      </c>
      <c r="I60" s="26">
        <v>30</v>
      </c>
      <c r="J60" s="68">
        <v>72.01</v>
      </c>
      <c r="K60" s="84">
        <v>86.99</v>
      </c>
      <c r="L60" s="85" t="s">
        <v>958</v>
      </c>
      <c r="M60" s="27" t="s">
        <v>995</v>
      </c>
      <c r="N60" s="25"/>
      <c r="O60" s="20" t="s">
        <v>213</v>
      </c>
      <c r="P60" s="25" t="s">
        <v>244</v>
      </c>
      <c r="Q60" s="25" t="s">
        <v>245</v>
      </c>
    </row>
    <row r="61" spans="1:17" ht="13.5" customHeight="1">
      <c r="A61" s="19" t="s">
        <v>189</v>
      </c>
      <c r="B61" s="20" t="s">
        <v>1333</v>
      </c>
      <c r="C61" s="21">
        <v>9781848820319</v>
      </c>
      <c r="D61" s="22" t="s">
        <v>216</v>
      </c>
      <c r="E61" s="23" t="str">
        <f>HYPERLINK("http://www.springer.com/gp/book/9781848820319","Principles of Programming Languages")</f>
        <v>Principles of Programming Languages</v>
      </c>
      <c r="F61" s="24">
        <v>2009</v>
      </c>
      <c r="G61" s="25" t="s">
        <v>957</v>
      </c>
      <c r="H61" s="70">
        <v>35.42</v>
      </c>
      <c r="I61" s="26">
        <v>25</v>
      </c>
      <c r="J61" s="68">
        <v>26.57</v>
      </c>
      <c r="K61" s="84">
        <v>29.95</v>
      </c>
      <c r="L61" s="85" t="s">
        <v>958</v>
      </c>
      <c r="M61" s="27" t="s">
        <v>995</v>
      </c>
      <c r="N61" s="25"/>
      <c r="O61" s="20" t="s">
        <v>183</v>
      </c>
      <c r="P61" s="25"/>
      <c r="Q61" s="25" t="s">
        <v>217</v>
      </c>
    </row>
    <row r="62" spans="1:17" ht="13.5" customHeight="1">
      <c r="A62" s="19" t="s">
        <v>189</v>
      </c>
      <c r="B62" s="20" t="s">
        <v>1184</v>
      </c>
      <c r="C62" s="21">
        <v>9780387955681</v>
      </c>
      <c r="D62" s="22" t="s">
        <v>220</v>
      </c>
      <c r="E62" s="23" t="str">
        <f>HYPERLINK("http://www.springer.com/gp/book/9780387955681","Applied Evolutionary Algorithms in Java")</f>
        <v>Applied Evolutionary Algorithms in Java</v>
      </c>
      <c r="F62" s="24">
        <v>2003</v>
      </c>
      <c r="G62" s="25" t="s">
        <v>957</v>
      </c>
      <c r="H62" s="70">
        <v>128.15</v>
      </c>
      <c r="I62" s="26">
        <v>30</v>
      </c>
      <c r="J62" s="68">
        <v>89.71</v>
      </c>
      <c r="K62" s="84">
        <v>110.95</v>
      </c>
      <c r="L62" s="85" t="s">
        <v>958</v>
      </c>
      <c r="M62" s="27" t="s">
        <v>977</v>
      </c>
      <c r="N62" s="25"/>
      <c r="O62" s="20" t="s">
        <v>22</v>
      </c>
      <c r="P62" s="25"/>
      <c r="Q62" s="25"/>
    </row>
    <row r="63" spans="1:17" ht="13.5" customHeight="1">
      <c r="A63" s="19" t="s">
        <v>189</v>
      </c>
      <c r="B63" s="20" t="s">
        <v>1184</v>
      </c>
      <c r="C63" s="21">
        <v>9783540239499</v>
      </c>
      <c r="D63" s="22" t="s">
        <v>230</v>
      </c>
      <c r="E63" s="23" t="str">
        <f>HYPERLINK("http://www.springer.com/gp/book/9783540239499","Design and Analysis of Randomized Algorithms")</f>
        <v>Design and Analysis of Randomized Algorithms</v>
      </c>
      <c r="F63" s="24">
        <v>2005</v>
      </c>
      <c r="G63" s="25" t="s">
        <v>957</v>
      </c>
      <c r="H63" s="70">
        <v>64.98</v>
      </c>
      <c r="I63" s="26">
        <v>30</v>
      </c>
      <c r="J63" s="68">
        <v>45.49</v>
      </c>
      <c r="K63" s="84">
        <v>54.95</v>
      </c>
      <c r="L63" s="85" t="s">
        <v>958</v>
      </c>
      <c r="M63" s="27" t="s">
        <v>977</v>
      </c>
      <c r="N63" s="25"/>
      <c r="O63" s="20" t="s">
        <v>22</v>
      </c>
      <c r="P63" s="25" t="s">
        <v>231</v>
      </c>
      <c r="Q63" s="25" t="s">
        <v>232</v>
      </c>
    </row>
    <row r="64" spans="1:17" ht="13.5" customHeight="1">
      <c r="A64" s="19" t="s">
        <v>189</v>
      </c>
      <c r="B64" s="20" t="s">
        <v>1185</v>
      </c>
      <c r="C64" s="21">
        <v>9783540718673</v>
      </c>
      <c r="D64" s="22" t="s">
        <v>254</v>
      </c>
      <c r="E64" s="23" t="str">
        <f>HYPERLINK("http://www.springer.com/gp/book/9783540718673","Model-Driven Architecture in Practice")</f>
        <v>Model-Driven Architecture in Practice</v>
      </c>
      <c r="F64" s="24">
        <v>2007</v>
      </c>
      <c r="G64" s="25" t="s">
        <v>957</v>
      </c>
      <c r="H64" s="70">
        <v>76.85</v>
      </c>
      <c r="I64" s="26">
        <v>30</v>
      </c>
      <c r="J64" s="68">
        <v>53.8</v>
      </c>
      <c r="K64" s="84">
        <v>64.99</v>
      </c>
      <c r="L64" s="85" t="s">
        <v>958</v>
      </c>
      <c r="M64" s="27" t="s">
        <v>977</v>
      </c>
      <c r="N64" s="25"/>
      <c r="O64" s="20" t="s">
        <v>28</v>
      </c>
      <c r="P64" s="25" t="s">
        <v>255</v>
      </c>
      <c r="Q64" s="25"/>
    </row>
    <row r="65" spans="1:17" ht="13.5" customHeight="1">
      <c r="A65" s="19" t="s">
        <v>189</v>
      </c>
      <c r="B65" s="20" t="s">
        <v>1185</v>
      </c>
      <c r="C65" s="21">
        <v>9781848001985</v>
      </c>
      <c r="D65" s="22" t="s">
        <v>224</v>
      </c>
      <c r="E65" s="23" t="str">
        <f>HYPERLINK("http://www.springer.com/gp/book/9781848001985","Agile Software Engineering")</f>
        <v>Agile Software Engineering</v>
      </c>
      <c r="F65" s="24">
        <v>2008</v>
      </c>
      <c r="G65" s="25" t="s">
        <v>957</v>
      </c>
      <c r="H65" s="70">
        <v>31.87</v>
      </c>
      <c r="I65" s="26">
        <v>25</v>
      </c>
      <c r="J65" s="68">
        <v>23.9</v>
      </c>
      <c r="K65" s="84">
        <v>26.95</v>
      </c>
      <c r="L65" s="85" t="s">
        <v>958</v>
      </c>
      <c r="M65" s="27" t="s">
        <v>995</v>
      </c>
      <c r="N65" s="25"/>
      <c r="O65" s="20" t="s">
        <v>183</v>
      </c>
      <c r="P65" s="25"/>
      <c r="Q65" s="25" t="s">
        <v>217</v>
      </c>
    </row>
    <row r="66" spans="1:17" ht="13.5" customHeight="1">
      <c r="A66" s="19" t="s">
        <v>189</v>
      </c>
      <c r="B66" s="20" t="s">
        <v>1183</v>
      </c>
      <c r="C66" s="21">
        <v>9783540200406</v>
      </c>
      <c r="D66" s="22" t="s">
        <v>215</v>
      </c>
      <c r="E66" s="23" t="str">
        <f>HYPERLINK("http://www.springer.com/gp/book/9783540200406","Logical and Relational Learning")</f>
        <v>Logical and Relational Learning</v>
      </c>
      <c r="F66" s="24">
        <v>2008</v>
      </c>
      <c r="G66" s="25" t="s">
        <v>957</v>
      </c>
      <c r="H66" s="70">
        <v>64.98</v>
      </c>
      <c r="I66" s="26">
        <v>25</v>
      </c>
      <c r="J66" s="68">
        <v>48.74</v>
      </c>
      <c r="K66" s="84">
        <v>54.95</v>
      </c>
      <c r="L66" s="85" t="s">
        <v>958</v>
      </c>
      <c r="M66" s="27" t="s">
        <v>977</v>
      </c>
      <c r="N66" s="25"/>
      <c r="O66" s="20" t="s">
        <v>22</v>
      </c>
      <c r="P66" s="25"/>
      <c r="Q66" s="25" t="s">
        <v>206</v>
      </c>
    </row>
    <row r="67" spans="1:17" s="6" customFormat="1" ht="13.5" customHeight="1">
      <c r="A67" s="19" t="s">
        <v>189</v>
      </c>
      <c r="B67" s="20" t="s">
        <v>1183</v>
      </c>
      <c r="C67" s="21">
        <v>9781848000698</v>
      </c>
      <c r="D67" s="22" t="s">
        <v>268</v>
      </c>
      <c r="E67" s="23" t="str">
        <f>HYPERLINK("http://www.springer.com/gp/book/9781848000698","The Algorithm Design Manual")</f>
        <v>The Algorithm Design Manual</v>
      </c>
      <c r="F67" s="24">
        <v>2008</v>
      </c>
      <c r="G67" s="25" t="s">
        <v>957</v>
      </c>
      <c r="H67" s="70">
        <v>70.89</v>
      </c>
      <c r="I67" s="26">
        <v>25</v>
      </c>
      <c r="J67" s="68">
        <v>53.17</v>
      </c>
      <c r="K67" s="84">
        <v>59.95</v>
      </c>
      <c r="L67" s="85" t="s">
        <v>958</v>
      </c>
      <c r="M67" s="27" t="s">
        <v>977</v>
      </c>
      <c r="N67" s="25" t="s">
        <v>1061</v>
      </c>
      <c r="O67" s="20" t="s">
        <v>22</v>
      </c>
      <c r="P67" s="25"/>
      <c r="Q67" s="25"/>
    </row>
    <row r="68" spans="1:17" ht="13.5" customHeight="1">
      <c r="A68" s="19" t="s">
        <v>189</v>
      </c>
      <c r="B68" s="20" t="s">
        <v>1183</v>
      </c>
      <c r="C68" s="21">
        <v>9783642002830</v>
      </c>
      <c r="D68" s="22" t="s">
        <v>233</v>
      </c>
      <c r="E68" s="23" t="str">
        <f>HYPERLINK("http://www.springer.com/gp/book/9783642002830","Coloured Petri Nets")</f>
        <v>Coloured Petri Nets</v>
      </c>
      <c r="F68" s="24">
        <v>2009</v>
      </c>
      <c r="G68" s="25" t="s">
        <v>957</v>
      </c>
      <c r="H68" s="70">
        <v>70.89</v>
      </c>
      <c r="I68" s="26">
        <v>25</v>
      </c>
      <c r="J68" s="68">
        <v>53.17</v>
      </c>
      <c r="K68" s="84">
        <v>59.95</v>
      </c>
      <c r="L68" s="85" t="s">
        <v>958</v>
      </c>
      <c r="M68" s="27" t="s">
        <v>977</v>
      </c>
      <c r="N68" s="25"/>
      <c r="O68" s="20" t="s">
        <v>22</v>
      </c>
      <c r="P68" s="25" t="s">
        <v>234</v>
      </c>
      <c r="Q68" s="25"/>
    </row>
    <row r="69" spans="1:17" ht="13.5" customHeight="1">
      <c r="A69" s="19" t="s">
        <v>189</v>
      </c>
      <c r="B69" s="20" t="s">
        <v>1186</v>
      </c>
      <c r="C69" s="21">
        <v>9780387724416</v>
      </c>
      <c r="D69" s="22" t="s">
        <v>272</v>
      </c>
      <c r="E69" s="23" t="str">
        <f>HYPERLINK("http://www.springer.com/gp/book/9780387724416","Security for Telecommunications Networks")</f>
        <v>Security for Telecommunications Networks</v>
      </c>
      <c r="F69" s="24">
        <v>2008</v>
      </c>
      <c r="G69" s="25" t="s">
        <v>957</v>
      </c>
      <c r="H69" s="70">
        <v>150.14</v>
      </c>
      <c r="I69" s="26">
        <v>25</v>
      </c>
      <c r="J69" s="68">
        <v>112.61</v>
      </c>
      <c r="K69" s="84">
        <v>129.99</v>
      </c>
      <c r="L69" s="85" t="s">
        <v>958</v>
      </c>
      <c r="M69" s="27" t="s">
        <v>977</v>
      </c>
      <c r="N69" s="25"/>
      <c r="O69" s="20" t="s">
        <v>28</v>
      </c>
      <c r="P69" s="25"/>
      <c r="Q69" s="25" t="s">
        <v>273</v>
      </c>
    </row>
    <row r="70" spans="1:17" ht="13.5" customHeight="1">
      <c r="A70" s="19" t="s">
        <v>189</v>
      </c>
      <c r="B70" s="20" t="s">
        <v>1180</v>
      </c>
      <c r="C70" s="21">
        <v>9781848002180</v>
      </c>
      <c r="D70" s="22" t="s">
        <v>242</v>
      </c>
      <c r="E70" s="23" t="str">
        <f>HYPERLINK("http://www.springer.com/gp/book/9781848002180","Introduction to Information Visualization")</f>
        <v>Introduction to Information Visualization</v>
      </c>
      <c r="F70" s="24">
        <v>2009</v>
      </c>
      <c r="G70" s="25" t="s">
        <v>957</v>
      </c>
      <c r="H70" s="70">
        <v>47.29</v>
      </c>
      <c r="I70" s="26">
        <v>25</v>
      </c>
      <c r="J70" s="68">
        <v>35.47</v>
      </c>
      <c r="K70" s="84">
        <v>39.99</v>
      </c>
      <c r="L70" s="85" t="s">
        <v>958</v>
      </c>
      <c r="M70" s="27" t="s">
        <v>995</v>
      </c>
      <c r="N70" s="25"/>
      <c r="O70" s="20" t="s">
        <v>22</v>
      </c>
      <c r="P70" s="25"/>
      <c r="Q70" s="25"/>
    </row>
    <row r="71" spans="1:17" ht="13.5" customHeight="1">
      <c r="A71" s="19" t="s">
        <v>189</v>
      </c>
      <c r="B71" s="20" t="s">
        <v>1327</v>
      </c>
      <c r="C71" s="21">
        <v>9781848002838</v>
      </c>
      <c r="D71" s="22" t="s">
        <v>209</v>
      </c>
      <c r="E71" s="23" t="str">
        <f>HYPERLINK("http://www.springer.com/gp/book/9781848002838","Foundations of 3D Graphics Programming")</f>
        <v>Foundations of 3D Graphics Programming</v>
      </c>
      <c r="F71" s="24">
        <v>2008</v>
      </c>
      <c r="G71" s="25" t="s">
        <v>957</v>
      </c>
      <c r="H71" s="70">
        <v>70.89</v>
      </c>
      <c r="I71" s="26">
        <v>25</v>
      </c>
      <c r="J71" s="68">
        <v>53.17</v>
      </c>
      <c r="K71" s="84">
        <v>59.95</v>
      </c>
      <c r="L71" s="85" t="s">
        <v>958</v>
      </c>
      <c r="M71" s="27" t="s">
        <v>977</v>
      </c>
      <c r="N71" s="25" t="s">
        <v>1061</v>
      </c>
      <c r="O71" s="20" t="s">
        <v>22</v>
      </c>
      <c r="P71" s="25" t="s">
        <v>210</v>
      </c>
      <c r="Q71" s="25"/>
    </row>
    <row r="72" spans="1:17" ht="13.5" customHeight="1">
      <c r="A72" s="19" t="s">
        <v>189</v>
      </c>
      <c r="B72" s="20" t="s">
        <v>1334</v>
      </c>
      <c r="C72" s="21">
        <v>9783642209161</v>
      </c>
      <c r="D72" s="22" t="s">
        <v>194</v>
      </c>
      <c r="E72" s="23" t="str">
        <f>HYPERLINK("http://www.springer.com/gp/book/9783642209161","Cloud Computing")</f>
        <v>Cloud Computing</v>
      </c>
      <c r="F72" s="24">
        <v>2011</v>
      </c>
      <c r="G72" s="25" t="s">
        <v>957</v>
      </c>
      <c r="H72" s="70">
        <v>47.29</v>
      </c>
      <c r="I72" s="26">
        <v>25</v>
      </c>
      <c r="J72" s="68">
        <v>35.47</v>
      </c>
      <c r="K72" s="84">
        <v>39.99</v>
      </c>
      <c r="L72" s="85" t="s">
        <v>958</v>
      </c>
      <c r="M72" s="27" t="s">
        <v>995</v>
      </c>
      <c r="N72" s="25"/>
      <c r="O72" s="20" t="s">
        <v>28</v>
      </c>
      <c r="P72" s="25" t="s">
        <v>195</v>
      </c>
      <c r="Q72" s="25"/>
    </row>
    <row r="73" spans="1:17" ht="13.5" customHeight="1">
      <c r="A73" s="19" t="s">
        <v>189</v>
      </c>
      <c r="B73" s="20" t="s">
        <v>1334</v>
      </c>
      <c r="C73" s="21">
        <v>9783642291449</v>
      </c>
      <c r="D73" s="22" t="s">
        <v>237</v>
      </c>
      <c r="E73" s="23" t="str">
        <f>HYPERLINK("http://www.springer.com/gp/book/9783642291449","Protocol Engineering")</f>
        <v>Protocol Engineering</v>
      </c>
      <c r="F73" s="24">
        <v>2012</v>
      </c>
      <c r="G73" s="25" t="s">
        <v>957</v>
      </c>
      <c r="H73" s="70">
        <v>59.07</v>
      </c>
      <c r="I73" s="26">
        <v>20</v>
      </c>
      <c r="J73" s="68">
        <v>47.26</v>
      </c>
      <c r="K73" s="84">
        <v>49.95</v>
      </c>
      <c r="L73" s="85" t="s">
        <v>958</v>
      </c>
      <c r="M73" s="27" t="s">
        <v>977</v>
      </c>
      <c r="N73" s="25"/>
      <c r="O73" s="20" t="s">
        <v>183</v>
      </c>
      <c r="P73" s="25"/>
      <c r="Q73" s="25"/>
    </row>
    <row r="74" spans="1:17" ht="13.5" customHeight="1">
      <c r="A74" s="19" t="s">
        <v>189</v>
      </c>
      <c r="B74" s="20" t="s">
        <v>1329</v>
      </c>
      <c r="C74" s="21">
        <v>9783642280986</v>
      </c>
      <c r="D74" s="22" t="s">
        <v>275</v>
      </c>
      <c r="E74" s="23" t="str">
        <f>HYPERLINK("http://www.springer.com/gp/book/9783642280986","Digital Preservation Technology for Cultural Heritage")</f>
        <v>Digital Preservation Technology for Cultural Heritage</v>
      </c>
      <c r="F74" s="24">
        <v>2012</v>
      </c>
      <c r="G74" s="25" t="s">
        <v>957</v>
      </c>
      <c r="H74" s="70">
        <v>161.64</v>
      </c>
      <c r="I74" s="26">
        <v>20</v>
      </c>
      <c r="J74" s="68">
        <v>129.31</v>
      </c>
      <c r="K74" s="84">
        <v>139.95</v>
      </c>
      <c r="L74" s="85" t="s">
        <v>958</v>
      </c>
      <c r="M74" s="27" t="s">
        <v>977</v>
      </c>
      <c r="N74" s="25"/>
      <c r="O74" s="20" t="s">
        <v>3</v>
      </c>
      <c r="P74" s="25"/>
      <c r="Q74" s="25"/>
    </row>
    <row r="75" spans="1:17" ht="13.5" customHeight="1">
      <c r="A75" s="19" t="s">
        <v>189</v>
      </c>
      <c r="B75" s="20" t="s">
        <v>1329</v>
      </c>
      <c r="C75" s="21">
        <v>9781447143024</v>
      </c>
      <c r="D75" s="22" t="s">
        <v>240</v>
      </c>
      <c r="E75" s="23" t="str">
        <f>HYPERLINK("http://www.springer.com/gp/book/9781447143024","Knowledge Visualization Currents")</f>
        <v>Knowledge Visualization Currents</v>
      </c>
      <c r="F75" s="24">
        <v>2013</v>
      </c>
      <c r="G75" s="25" t="s">
        <v>957</v>
      </c>
      <c r="H75" s="70">
        <v>115.49</v>
      </c>
      <c r="I75" s="26">
        <v>20</v>
      </c>
      <c r="J75" s="68">
        <v>92.39</v>
      </c>
      <c r="K75" s="84">
        <v>99.99</v>
      </c>
      <c r="L75" s="85" t="s">
        <v>958</v>
      </c>
      <c r="M75" s="27" t="s">
        <v>977</v>
      </c>
      <c r="N75" s="25"/>
      <c r="O75" s="20" t="s">
        <v>10</v>
      </c>
      <c r="P75" s="25" t="s">
        <v>241</v>
      </c>
      <c r="Q75" s="25"/>
    </row>
    <row r="76" spans="1:17" ht="13.5" customHeight="1">
      <c r="A76" s="19" t="s">
        <v>189</v>
      </c>
      <c r="B76" s="20" t="s">
        <v>1330</v>
      </c>
      <c r="C76" s="21">
        <v>9783540890676</v>
      </c>
      <c r="D76" s="22" t="s">
        <v>259</v>
      </c>
      <c r="E76" s="23" t="str">
        <f>HYPERLINK("http://www.springer.com/gp/book/9783540890676","Geometric Algebra with Applications in Engineering")</f>
        <v>Geometric Algebra with Applications in Engineering</v>
      </c>
      <c r="F76" s="24">
        <v>2009</v>
      </c>
      <c r="G76" s="25" t="s">
        <v>957</v>
      </c>
      <c r="H76" s="70">
        <v>64.98</v>
      </c>
      <c r="I76" s="26">
        <v>25</v>
      </c>
      <c r="J76" s="68">
        <v>48.74</v>
      </c>
      <c r="K76" s="84">
        <v>54.95</v>
      </c>
      <c r="L76" s="85" t="s">
        <v>958</v>
      </c>
      <c r="M76" s="27" t="s">
        <v>977</v>
      </c>
      <c r="N76" s="25"/>
      <c r="O76" s="20" t="s">
        <v>22</v>
      </c>
      <c r="P76" s="25"/>
      <c r="Q76" s="25" t="s">
        <v>260</v>
      </c>
    </row>
    <row r="77" spans="1:17" ht="13.5" customHeight="1">
      <c r="A77" s="19" t="s">
        <v>189</v>
      </c>
      <c r="B77" s="20" t="s">
        <v>1335</v>
      </c>
      <c r="C77" s="21">
        <v>9781848000087</v>
      </c>
      <c r="D77" s="22" t="s">
        <v>198</v>
      </c>
      <c r="E77" s="23" t="str">
        <f>HYPERLINK("http://www.springer.com/gp/book/9781848000087","Thesis Projects")</f>
        <v>Thesis Projects</v>
      </c>
      <c r="F77" s="24">
        <v>2008</v>
      </c>
      <c r="G77" s="25" t="s">
        <v>957</v>
      </c>
      <c r="H77" s="70">
        <v>59.07</v>
      </c>
      <c r="I77" s="26">
        <v>25</v>
      </c>
      <c r="J77" s="68">
        <v>44.3</v>
      </c>
      <c r="K77" s="84">
        <v>49.95</v>
      </c>
      <c r="L77" s="85" t="s">
        <v>958</v>
      </c>
      <c r="M77" s="27" t="s">
        <v>995</v>
      </c>
      <c r="N77" s="25" t="s">
        <v>1061</v>
      </c>
      <c r="O77" s="20" t="s">
        <v>22</v>
      </c>
      <c r="P77" s="25" t="s">
        <v>199</v>
      </c>
      <c r="Q77" s="25"/>
    </row>
    <row r="78" spans="1:17" ht="13.5" customHeight="1">
      <c r="A78" s="19" t="s">
        <v>189</v>
      </c>
      <c r="B78" s="20" t="s">
        <v>1335</v>
      </c>
      <c r="C78" s="21">
        <v>9781402069130</v>
      </c>
      <c r="D78" s="22" t="s">
        <v>225</v>
      </c>
      <c r="E78" s="23" t="str">
        <f>HYPERLINK("http://www.springer.com/gp/book/9781402069130","Profiling the European Citizen")</f>
        <v>Profiling the European Citizen</v>
      </c>
      <c r="F78" s="24">
        <v>2008</v>
      </c>
      <c r="G78" s="25" t="s">
        <v>957</v>
      </c>
      <c r="H78" s="70">
        <v>106.41</v>
      </c>
      <c r="I78" s="26">
        <v>25</v>
      </c>
      <c r="J78" s="68">
        <v>79.81</v>
      </c>
      <c r="K78" s="84">
        <v>89.99</v>
      </c>
      <c r="L78" s="85" t="s">
        <v>958</v>
      </c>
      <c r="M78" s="27" t="s">
        <v>977</v>
      </c>
      <c r="N78" s="25"/>
      <c r="O78" s="20" t="s">
        <v>10</v>
      </c>
      <c r="P78" s="25" t="s">
        <v>226</v>
      </c>
      <c r="Q78" s="25"/>
    </row>
    <row r="79" spans="1:17" ht="13.5" customHeight="1">
      <c r="A79" s="19" t="s">
        <v>189</v>
      </c>
      <c r="B79" s="20" t="s">
        <v>1325</v>
      </c>
      <c r="C79" s="21">
        <v>9781447147626</v>
      </c>
      <c r="D79" s="22" t="s">
        <v>235</v>
      </c>
      <c r="E79" s="23" t="str">
        <f>HYPERLINK("http://www.springer.com/gp/book/9781447147626","The Secure Information Society")</f>
        <v>The Secure Information Society</v>
      </c>
      <c r="F79" s="24">
        <v>2013</v>
      </c>
      <c r="G79" s="25" t="s">
        <v>957</v>
      </c>
      <c r="H79" s="70">
        <v>115.49</v>
      </c>
      <c r="I79" s="26">
        <v>20</v>
      </c>
      <c r="J79" s="68">
        <v>92.39</v>
      </c>
      <c r="K79" s="84">
        <v>99.99</v>
      </c>
      <c r="L79" s="85" t="s">
        <v>958</v>
      </c>
      <c r="M79" s="27" t="s">
        <v>977</v>
      </c>
      <c r="N79" s="25"/>
      <c r="O79" s="20" t="s">
        <v>3</v>
      </c>
      <c r="P79" s="25" t="s">
        <v>236</v>
      </c>
      <c r="Q79" s="25"/>
    </row>
    <row r="80" spans="1:17" ht="13.5" customHeight="1">
      <c r="A80" s="19" t="s">
        <v>189</v>
      </c>
      <c r="B80" s="20" t="s">
        <v>1324</v>
      </c>
      <c r="C80" s="21">
        <v>9781441975324</v>
      </c>
      <c r="D80" s="22" t="s">
        <v>191</v>
      </c>
      <c r="E80" s="23" t="str">
        <f>HYPERLINK("http://www.springer.com/gp/book/9781441975324","Practical Studies in E-Government")</f>
        <v>Practical Studies in E-Government</v>
      </c>
      <c r="F80" s="24">
        <v>2011</v>
      </c>
      <c r="G80" s="25" t="s">
        <v>957</v>
      </c>
      <c r="H80" s="70">
        <v>150.14</v>
      </c>
      <c r="I80" s="26">
        <v>25</v>
      </c>
      <c r="J80" s="68">
        <v>112.61</v>
      </c>
      <c r="K80" s="84">
        <v>129.99</v>
      </c>
      <c r="L80" s="85" t="s">
        <v>958</v>
      </c>
      <c r="M80" s="27" t="s">
        <v>977</v>
      </c>
      <c r="N80" s="25"/>
      <c r="O80" s="20" t="s">
        <v>3</v>
      </c>
      <c r="P80" s="25" t="s">
        <v>192</v>
      </c>
      <c r="Q80" s="25"/>
    </row>
    <row r="81" spans="1:17" ht="13.5" customHeight="1">
      <c r="A81" s="19" t="s">
        <v>189</v>
      </c>
      <c r="B81" s="27" t="s">
        <v>1058</v>
      </c>
      <c r="C81" s="29">
        <v>9781846288470</v>
      </c>
      <c r="D81" s="30" t="s">
        <v>1006</v>
      </c>
      <c r="E81" s="31" t="s">
        <v>1007</v>
      </c>
      <c r="F81" s="32">
        <v>2008</v>
      </c>
      <c r="G81" s="33" t="s">
        <v>957</v>
      </c>
      <c r="H81" s="71">
        <v>44.23</v>
      </c>
      <c r="I81" s="26">
        <v>25</v>
      </c>
      <c r="J81" s="68">
        <v>33.17</v>
      </c>
      <c r="K81" s="86">
        <v>37.4</v>
      </c>
      <c r="L81" s="87" t="s">
        <v>958</v>
      </c>
      <c r="M81" s="27" t="s">
        <v>995</v>
      </c>
      <c r="N81" s="29"/>
      <c r="O81" s="20" t="s">
        <v>3</v>
      </c>
      <c r="P81" s="27"/>
      <c r="Q81" s="27" t="s">
        <v>1078</v>
      </c>
    </row>
    <row r="82" spans="1:17" ht="13.5" customHeight="1">
      <c r="A82" s="19" t="s">
        <v>189</v>
      </c>
      <c r="B82" s="27" t="s">
        <v>1058</v>
      </c>
      <c r="C82" s="29">
        <v>9781848000414</v>
      </c>
      <c r="D82" s="30" t="s">
        <v>972</v>
      </c>
      <c r="E82" s="31" t="s">
        <v>973</v>
      </c>
      <c r="F82" s="32">
        <v>2008</v>
      </c>
      <c r="G82" s="33" t="s">
        <v>957</v>
      </c>
      <c r="H82" s="71">
        <v>81.59</v>
      </c>
      <c r="I82" s="26">
        <v>25</v>
      </c>
      <c r="J82" s="68">
        <v>61.19</v>
      </c>
      <c r="K82" s="86">
        <v>69</v>
      </c>
      <c r="L82" s="87" t="s">
        <v>958</v>
      </c>
      <c r="M82" s="27" t="s">
        <v>977</v>
      </c>
      <c r="N82" s="29"/>
      <c r="O82" s="20" t="s">
        <v>3</v>
      </c>
      <c r="P82" s="27"/>
      <c r="Q82" s="27"/>
    </row>
    <row r="83" spans="1:17" s="6" customFormat="1" ht="13.5" customHeight="1">
      <c r="A83" s="19" t="s">
        <v>189</v>
      </c>
      <c r="B83" s="27" t="s">
        <v>1058</v>
      </c>
      <c r="C83" s="29">
        <v>9781849960229</v>
      </c>
      <c r="D83" s="30" t="s">
        <v>1012</v>
      </c>
      <c r="E83" s="31" t="s">
        <v>1013</v>
      </c>
      <c r="F83" s="32">
        <v>2010</v>
      </c>
      <c r="G83" s="33" t="s">
        <v>957</v>
      </c>
      <c r="H83" s="71">
        <v>37.9</v>
      </c>
      <c r="I83" s="26">
        <v>25</v>
      </c>
      <c r="J83" s="68">
        <v>28.43</v>
      </c>
      <c r="K83" s="86">
        <v>32.05</v>
      </c>
      <c r="L83" s="87" t="s">
        <v>958</v>
      </c>
      <c r="M83" s="27" t="s">
        <v>995</v>
      </c>
      <c r="N83" s="29" t="s">
        <v>1054</v>
      </c>
      <c r="O83" s="20" t="s">
        <v>3</v>
      </c>
      <c r="P83" s="27"/>
      <c r="Q83" s="27" t="s">
        <v>1078</v>
      </c>
    </row>
    <row r="84" spans="1:17" ht="13.5" customHeight="1">
      <c r="A84" s="19" t="s">
        <v>189</v>
      </c>
      <c r="B84" s="20" t="s">
        <v>1326</v>
      </c>
      <c r="C84" s="21">
        <v>9781461456285</v>
      </c>
      <c r="D84" s="22" t="s">
        <v>202</v>
      </c>
      <c r="E84" s="23" t="str">
        <f>HYPERLINK("http://www.springer.com/gp/book/9781461456285","Health Informatics in the Cloud")</f>
        <v>Health Informatics in the Cloud</v>
      </c>
      <c r="F84" s="24">
        <v>2013</v>
      </c>
      <c r="G84" s="25" t="s">
        <v>957</v>
      </c>
      <c r="H84" s="70">
        <v>47.24</v>
      </c>
      <c r="I84" s="26">
        <v>20</v>
      </c>
      <c r="J84" s="68">
        <v>37.79</v>
      </c>
      <c r="K84" s="84">
        <v>39.95</v>
      </c>
      <c r="L84" s="85" t="s">
        <v>958</v>
      </c>
      <c r="M84" s="27" t="s">
        <v>995</v>
      </c>
      <c r="N84" s="25"/>
      <c r="O84" s="20" t="s">
        <v>44</v>
      </c>
      <c r="P84" s="25"/>
      <c r="Q84" s="25" t="s">
        <v>203</v>
      </c>
    </row>
    <row r="85" spans="1:17" ht="13.5" customHeight="1">
      <c r="A85" s="19" t="s">
        <v>189</v>
      </c>
      <c r="B85" s="20" t="s">
        <v>1328</v>
      </c>
      <c r="C85" s="21">
        <v>9783540199694</v>
      </c>
      <c r="D85" s="22" t="s">
        <v>193</v>
      </c>
      <c r="E85" s="23" t="str">
        <f>HYPERLINK("http://www.springer.com/gp/book/9783540199694","Intelligent Vision Systems for Industry")</f>
        <v>Intelligent Vision Systems for Industry</v>
      </c>
      <c r="F85" s="24">
        <v>1997</v>
      </c>
      <c r="G85" s="25" t="s">
        <v>957</v>
      </c>
      <c r="H85" s="70">
        <v>161.69</v>
      </c>
      <c r="I85" s="26">
        <v>30</v>
      </c>
      <c r="J85" s="68">
        <v>113.18</v>
      </c>
      <c r="K85" s="84">
        <v>139.99</v>
      </c>
      <c r="L85" s="85" t="s">
        <v>958</v>
      </c>
      <c r="M85" s="27" t="s">
        <v>977</v>
      </c>
      <c r="N85" s="25"/>
      <c r="O85" s="20" t="s">
        <v>3</v>
      </c>
      <c r="P85" s="25"/>
      <c r="Q85" s="25"/>
    </row>
    <row r="86" spans="1:17" ht="13.5" customHeight="1">
      <c r="A86" s="19" t="s">
        <v>189</v>
      </c>
      <c r="B86" s="20" t="s">
        <v>1328</v>
      </c>
      <c r="C86" s="21">
        <v>9781848001725</v>
      </c>
      <c r="D86" s="22" t="s">
        <v>271</v>
      </c>
      <c r="E86" s="23" t="str">
        <f>HYPERLINK("http://www.springer.com/gp/book/9781848001725","Fundamentals of Three-dimensional Digital Image Processing")</f>
        <v>Fundamentals of Three-dimensional Digital Image Processing</v>
      </c>
      <c r="F86" s="24">
        <v>2009</v>
      </c>
      <c r="G86" s="25" t="s">
        <v>957</v>
      </c>
      <c r="H86" s="70">
        <v>74.44</v>
      </c>
      <c r="I86" s="26">
        <v>25</v>
      </c>
      <c r="J86" s="68">
        <v>55.83</v>
      </c>
      <c r="K86" s="84">
        <v>62.95</v>
      </c>
      <c r="L86" s="85" t="s">
        <v>958</v>
      </c>
      <c r="M86" s="27" t="s">
        <v>977</v>
      </c>
      <c r="N86" s="25"/>
      <c r="O86" s="20" t="s">
        <v>22</v>
      </c>
      <c r="P86" s="25"/>
      <c r="Q86" s="25"/>
    </row>
    <row r="87" spans="1:17" ht="13.5" customHeight="1">
      <c r="A87" s="19" t="s">
        <v>189</v>
      </c>
      <c r="B87" s="20" t="s">
        <v>1328</v>
      </c>
      <c r="C87" s="21">
        <v>9781461456315</v>
      </c>
      <c r="D87" s="22" t="s">
        <v>196</v>
      </c>
      <c r="E87" s="23" t="str">
        <f>HYPERLINK("http://www.springer.com/gp/book/9781461456315","3D Surface Reconstruction")</f>
        <v>3D Surface Reconstruction</v>
      </c>
      <c r="F87" s="24">
        <v>2013</v>
      </c>
      <c r="G87" s="25" t="s">
        <v>957</v>
      </c>
      <c r="H87" s="70">
        <v>121.26</v>
      </c>
      <c r="I87" s="26">
        <v>20</v>
      </c>
      <c r="J87" s="68">
        <v>97.01</v>
      </c>
      <c r="K87" s="84">
        <v>104.99</v>
      </c>
      <c r="L87" s="85" t="s">
        <v>958</v>
      </c>
      <c r="M87" s="27" t="s">
        <v>977</v>
      </c>
      <c r="N87" s="25"/>
      <c r="O87" s="20" t="s">
        <v>3</v>
      </c>
      <c r="P87" s="25" t="s">
        <v>197</v>
      </c>
      <c r="Q87" s="25"/>
    </row>
    <row r="88" spans="1:17" ht="13.5" customHeight="1">
      <c r="A88" s="19" t="s">
        <v>189</v>
      </c>
      <c r="B88" s="20" t="s">
        <v>1331</v>
      </c>
      <c r="C88" s="21">
        <v>9783642192302</v>
      </c>
      <c r="D88" s="22" t="s">
        <v>238</v>
      </c>
      <c r="E88" s="23" t="str">
        <f>HYPERLINK("http://www.springer.com/gp/book/9783642192302","Current Challenges in Patent Information Retrieval")</f>
        <v>Current Challenges in Patent Information Retrieval</v>
      </c>
      <c r="F88" s="24">
        <v>2011</v>
      </c>
      <c r="G88" s="25" t="s">
        <v>957</v>
      </c>
      <c r="H88" s="70">
        <v>150.14</v>
      </c>
      <c r="I88" s="26">
        <v>25</v>
      </c>
      <c r="J88" s="68">
        <v>112.61</v>
      </c>
      <c r="K88" s="84">
        <v>129.99</v>
      </c>
      <c r="L88" s="85" t="s">
        <v>958</v>
      </c>
      <c r="M88" s="27" t="s">
        <v>977</v>
      </c>
      <c r="N88" s="25"/>
      <c r="O88" s="20" t="s">
        <v>3</v>
      </c>
      <c r="P88" s="25"/>
      <c r="Q88" s="25" t="s">
        <v>239</v>
      </c>
    </row>
    <row r="89" spans="1:17" ht="13.5" customHeight="1">
      <c r="A89" s="28" t="s">
        <v>189</v>
      </c>
      <c r="B89" s="27" t="s">
        <v>1103</v>
      </c>
      <c r="C89" s="29">
        <v>9783642159695</v>
      </c>
      <c r="D89" s="30" t="s">
        <v>1045</v>
      </c>
      <c r="E89" s="31" t="s">
        <v>1046</v>
      </c>
      <c r="F89" s="32">
        <v>2011</v>
      </c>
      <c r="G89" s="33" t="s">
        <v>957</v>
      </c>
      <c r="H89" s="71">
        <v>88.51</v>
      </c>
      <c r="I89" s="26">
        <v>25</v>
      </c>
      <c r="J89" s="68">
        <v>66.38</v>
      </c>
      <c r="K89" s="86">
        <v>74.85</v>
      </c>
      <c r="L89" s="87" t="s">
        <v>958</v>
      </c>
      <c r="M89" s="27" t="s">
        <v>977</v>
      </c>
      <c r="N89" s="29"/>
      <c r="O89" s="20" t="s">
        <v>3</v>
      </c>
      <c r="P89" s="27"/>
      <c r="Q89" s="27"/>
    </row>
    <row r="90" spans="1:17" ht="13.5" customHeight="1">
      <c r="A90" s="28" t="s">
        <v>189</v>
      </c>
      <c r="B90" s="27" t="s">
        <v>1102</v>
      </c>
      <c r="C90" s="29">
        <v>9783642024740</v>
      </c>
      <c r="D90" s="30" t="s">
        <v>1043</v>
      </c>
      <c r="E90" s="31" t="s">
        <v>1044</v>
      </c>
      <c r="F90" s="32">
        <v>2009</v>
      </c>
      <c r="G90" s="33" t="s">
        <v>957</v>
      </c>
      <c r="H90" s="71">
        <v>60.31</v>
      </c>
      <c r="I90" s="26">
        <v>25</v>
      </c>
      <c r="J90" s="68">
        <v>45.23</v>
      </c>
      <c r="K90" s="86">
        <v>51</v>
      </c>
      <c r="L90" s="87" t="s">
        <v>958</v>
      </c>
      <c r="M90" s="27" t="s">
        <v>977</v>
      </c>
      <c r="N90" s="29"/>
      <c r="O90" s="20" t="s">
        <v>3</v>
      </c>
      <c r="P90" s="27"/>
      <c r="Q90" s="27" t="s">
        <v>1101</v>
      </c>
    </row>
    <row r="91" spans="1:17" ht="13.5" customHeight="1">
      <c r="A91" s="19" t="s">
        <v>189</v>
      </c>
      <c r="B91" s="20" t="s">
        <v>1332</v>
      </c>
      <c r="C91" s="21">
        <v>9783540650133</v>
      </c>
      <c r="D91" s="22" t="s">
        <v>263</v>
      </c>
      <c r="E91" s="23" t="str">
        <f>HYPERLINK("http://www.springer.com/gp/book/9783540650133","Algorithmic Learning Theory")</f>
        <v>Algorithmic Learning Theory</v>
      </c>
      <c r="F91" s="24">
        <v>1998</v>
      </c>
      <c r="G91" s="25" t="s">
        <v>957</v>
      </c>
      <c r="H91" s="70">
        <v>88.68</v>
      </c>
      <c r="I91" s="26">
        <v>30</v>
      </c>
      <c r="J91" s="68">
        <v>62.08</v>
      </c>
      <c r="K91" s="84">
        <v>74.99</v>
      </c>
      <c r="L91" s="85" t="s">
        <v>958</v>
      </c>
      <c r="M91" s="27" t="s">
        <v>995</v>
      </c>
      <c r="N91" s="25"/>
      <c r="O91" s="20" t="s">
        <v>213</v>
      </c>
      <c r="P91" s="25" t="s">
        <v>264</v>
      </c>
      <c r="Q91" s="25" t="s">
        <v>265</v>
      </c>
    </row>
    <row r="92" spans="1:17" ht="13.5" customHeight="1">
      <c r="A92" s="19" t="s">
        <v>189</v>
      </c>
      <c r="B92" s="20" t="s">
        <v>1332</v>
      </c>
      <c r="C92" s="21">
        <v>9783540200208</v>
      </c>
      <c r="D92" s="22" t="s">
        <v>269</v>
      </c>
      <c r="E92" s="23" t="str">
        <f>HYPERLINK("http://www.springer.com/gp/book/9783540200208","Alan Turing: Life and Legacy of a Great Thinker")</f>
        <v>Alan Turing: Life and Legacy of a Great Thinker</v>
      </c>
      <c r="F92" s="24">
        <v>2004</v>
      </c>
      <c r="G92" s="25" t="s">
        <v>957</v>
      </c>
      <c r="H92" s="70">
        <v>121.26</v>
      </c>
      <c r="I92" s="26">
        <v>30</v>
      </c>
      <c r="J92" s="68">
        <v>84.88</v>
      </c>
      <c r="K92" s="84">
        <v>104.99</v>
      </c>
      <c r="L92" s="85" t="s">
        <v>958</v>
      </c>
      <c r="M92" s="27" t="s">
        <v>977</v>
      </c>
      <c r="N92" s="25"/>
      <c r="O92" s="20" t="s">
        <v>270</v>
      </c>
      <c r="P92" s="25"/>
      <c r="Q92" s="25"/>
    </row>
    <row r="93" spans="1:17" ht="13.5" customHeight="1">
      <c r="A93" s="19" t="s">
        <v>189</v>
      </c>
      <c r="B93" s="20" t="s">
        <v>1332</v>
      </c>
      <c r="C93" s="21">
        <v>9780387312392</v>
      </c>
      <c r="D93" s="22" t="s">
        <v>248</v>
      </c>
      <c r="E93" s="23" t="str">
        <f>HYPERLINK("http://www.springer.com/gp/book/9780387312392","Adaptive Learning of Polynomial Networks")</f>
        <v>Adaptive Learning of Polynomial Networks</v>
      </c>
      <c r="F93" s="24">
        <v>2006</v>
      </c>
      <c r="G93" s="25" t="s">
        <v>957</v>
      </c>
      <c r="H93" s="70">
        <v>150.14</v>
      </c>
      <c r="I93" s="26">
        <v>30</v>
      </c>
      <c r="J93" s="68">
        <v>105.1</v>
      </c>
      <c r="K93" s="84">
        <v>129.99</v>
      </c>
      <c r="L93" s="85" t="s">
        <v>958</v>
      </c>
      <c r="M93" s="27" t="s">
        <v>977</v>
      </c>
      <c r="N93" s="25"/>
      <c r="O93" s="20" t="s">
        <v>3</v>
      </c>
      <c r="P93" s="25" t="s">
        <v>249</v>
      </c>
      <c r="Q93" s="25" t="s">
        <v>250</v>
      </c>
    </row>
    <row r="94" spans="1:17" ht="13.5" customHeight="1">
      <c r="A94" s="19" t="s">
        <v>277</v>
      </c>
      <c r="B94" s="20" t="s">
        <v>1132</v>
      </c>
      <c r="C94" s="21">
        <v>9780387713120</v>
      </c>
      <c r="D94" s="22" t="s">
        <v>276</v>
      </c>
      <c r="E94" s="23" t="str">
        <f>HYPERLINK("http://www.springer.com/gp/book/9780387713120","Cultural Heritage and Human Rights")</f>
        <v>Cultural Heritage and Human Rights</v>
      </c>
      <c r="F94" s="24">
        <v>2007</v>
      </c>
      <c r="G94" s="25" t="s">
        <v>957</v>
      </c>
      <c r="H94" s="70">
        <v>127.04</v>
      </c>
      <c r="I94" s="26">
        <v>30</v>
      </c>
      <c r="J94" s="68">
        <v>88.93</v>
      </c>
      <c r="K94" s="84">
        <v>109.99</v>
      </c>
      <c r="L94" s="85" t="s">
        <v>958</v>
      </c>
      <c r="M94" s="27" t="s">
        <v>977</v>
      </c>
      <c r="N94" s="25"/>
      <c r="O94" s="20" t="s">
        <v>10</v>
      </c>
      <c r="P94" s="25"/>
      <c r="Q94" s="25"/>
    </row>
    <row r="95" spans="1:17" s="6" customFormat="1" ht="13.5" customHeight="1">
      <c r="A95" s="19" t="s">
        <v>277</v>
      </c>
      <c r="B95" s="20" t="s">
        <v>1131</v>
      </c>
      <c r="C95" s="21">
        <v>9784431541103</v>
      </c>
      <c r="D95" s="22" t="s">
        <v>278</v>
      </c>
      <c r="E95" s="23" t="str">
        <f>HYPERLINK("http://www.springer.com/gp/book/9784431541103","Water Civilization")</f>
        <v>Water Civilization</v>
      </c>
      <c r="F95" s="24">
        <v>2013</v>
      </c>
      <c r="G95" s="25" t="s">
        <v>957</v>
      </c>
      <c r="H95" s="70">
        <v>132.81</v>
      </c>
      <c r="I95" s="26">
        <v>20</v>
      </c>
      <c r="J95" s="68">
        <v>106.25</v>
      </c>
      <c r="K95" s="84">
        <v>114.99</v>
      </c>
      <c r="L95" s="85" t="s">
        <v>958</v>
      </c>
      <c r="M95" s="27" t="s">
        <v>977</v>
      </c>
      <c r="N95" s="25"/>
      <c r="O95" s="20" t="s">
        <v>3</v>
      </c>
      <c r="P95" s="25" t="s">
        <v>279</v>
      </c>
      <c r="Q95" s="25" t="s">
        <v>280</v>
      </c>
    </row>
    <row r="96" spans="1:17" ht="13.5" customHeight="1">
      <c r="A96" s="19" t="s">
        <v>282</v>
      </c>
      <c r="B96" s="20" t="s">
        <v>282</v>
      </c>
      <c r="C96" s="21">
        <v>9783540777816</v>
      </c>
      <c r="D96" s="22" t="s">
        <v>281</v>
      </c>
      <c r="E96" s="23" t="str">
        <f>HYPERLINK("http://www.springer.com/gp/book/9783540777816","Biocompatibility of Dental Materials")</f>
        <v>Biocompatibility of Dental Materials</v>
      </c>
      <c r="F96" s="24">
        <v>2009</v>
      </c>
      <c r="G96" s="25" t="s">
        <v>957</v>
      </c>
      <c r="H96" s="70">
        <v>207.89</v>
      </c>
      <c r="I96" s="26">
        <v>25</v>
      </c>
      <c r="J96" s="68">
        <v>155.92</v>
      </c>
      <c r="K96" s="84">
        <v>179.99</v>
      </c>
      <c r="L96" s="85" t="s">
        <v>958</v>
      </c>
      <c r="M96" s="27" t="s">
        <v>977</v>
      </c>
      <c r="N96" s="25"/>
      <c r="O96" s="20" t="s">
        <v>3</v>
      </c>
      <c r="P96" s="25"/>
      <c r="Q96" s="25"/>
    </row>
    <row r="97" spans="1:17" ht="13.5" customHeight="1">
      <c r="A97" s="19" t="s">
        <v>284</v>
      </c>
      <c r="B97" s="20" t="s">
        <v>1346</v>
      </c>
      <c r="C97" s="21">
        <v>9781402082160</v>
      </c>
      <c r="D97" s="22" t="s">
        <v>298</v>
      </c>
      <c r="E97" s="23" t="str">
        <f>HYPERLINK("http://www.springer.com/gp/book/9781402082160","Stratosphere Troposphere Interactions")</f>
        <v>Stratosphere Troposphere Interactions</v>
      </c>
      <c r="F97" s="24">
        <v>2008</v>
      </c>
      <c r="G97" s="25" t="s">
        <v>957</v>
      </c>
      <c r="H97" s="70">
        <v>82.72</v>
      </c>
      <c r="I97" s="26">
        <v>25</v>
      </c>
      <c r="J97" s="68">
        <v>62.04</v>
      </c>
      <c r="K97" s="84">
        <v>69.95</v>
      </c>
      <c r="L97" s="85" t="s">
        <v>958</v>
      </c>
      <c r="M97" s="27" t="s">
        <v>977</v>
      </c>
      <c r="N97" s="25"/>
      <c r="O97" s="20" t="s">
        <v>22</v>
      </c>
      <c r="P97" s="25" t="s">
        <v>257</v>
      </c>
      <c r="Q97" s="25"/>
    </row>
    <row r="98" spans="1:17" ht="13.5" customHeight="1">
      <c r="A98" s="19" t="s">
        <v>284</v>
      </c>
      <c r="B98" s="20" t="s">
        <v>1346</v>
      </c>
      <c r="C98" s="21">
        <v>9783540746652</v>
      </c>
      <c r="D98" s="22" t="s">
        <v>286</v>
      </c>
      <c r="E98" s="23" t="str">
        <f>HYPERLINK("http://www.springer.com/gp/book/9783540746652","Micrometeorology")</f>
        <v>Micrometeorology</v>
      </c>
      <c r="F98" s="24">
        <v>2008</v>
      </c>
      <c r="G98" s="25" t="s">
        <v>957</v>
      </c>
      <c r="H98" s="70">
        <v>94.54</v>
      </c>
      <c r="I98" s="26">
        <v>25</v>
      </c>
      <c r="J98" s="68">
        <v>70.91</v>
      </c>
      <c r="K98" s="84">
        <v>79.95</v>
      </c>
      <c r="L98" s="85" t="s">
        <v>958</v>
      </c>
      <c r="M98" s="27" t="s">
        <v>995</v>
      </c>
      <c r="N98" s="25"/>
      <c r="O98" s="20" t="s">
        <v>22</v>
      </c>
      <c r="P98" s="25"/>
      <c r="Q98" s="25"/>
    </row>
    <row r="99" spans="1:17" ht="13.5" customHeight="1">
      <c r="A99" s="19" t="s">
        <v>284</v>
      </c>
      <c r="B99" s="20" t="s">
        <v>1345</v>
      </c>
      <c r="C99" s="21">
        <v>9789400743267</v>
      </c>
      <c r="D99" s="22" t="s">
        <v>283</v>
      </c>
      <c r="E99" s="23" t="str">
        <f>HYPERLINK("http://www.springer.com/gp/book/9789400743267","Observing and Modeling Earth's Energy Flows")</f>
        <v>Observing and Modeling Earth's Energy Flows</v>
      </c>
      <c r="F99" s="24">
        <v>2012</v>
      </c>
      <c r="G99" s="25" t="s">
        <v>957</v>
      </c>
      <c r="H99" s="70">
        <v>173.24</v>
      </c>
      <c r="I99" s="26">
        <v>20</v>
      </c>
      <c r="J99" s="68">
        <v>138.59</v>
      </c>
      <c r="K99" s="84">
        <v>149.99</v>
      </c>
      <c r="L99" s="85" t="s">
        <v>958</v>
      </c>
      <c r="M99" s="27" t="s">
        <v>977</v>
      </c>
      <c r="N99" s="25"/>
      <c r="O99" s="20" t="s">
        <v>3</v>
      </c>
      <c r="P99" s="25"/>
      <c r="Q99" s="25" t="s">
        <v>285</v>
      </c>
    </row>
    <row r="100" spans="1:17" ht="13.5" customHeight="1">
      <c r="A100" s="19" t="s">
        <v>284</v>
      </c>
      <c r="B100" s="20" t="s">
        <v>1168</v>
      </c>
      <c r="C100" s="21">
        <v>9783540651024</v>
      </c>
      <c r="D100" s="22" t="s">
        <v>299</v>
      </c>
      <c r="E100" s="23" t="str">
        <f>HYPERLINK("http://www.springer.com/gp/book/9783540651024","Chancen erneuerbarer Energieträger")</f>
        <v>Chancen erneuerbarer Energieträger</v>
      </c>
      <c r="F100" s="24">
        <v>1999</v>
      </c>
      <c r="G100" s="25" t="s">
        <v>957</v>
      </c>
      <c r="H100" s="70">
        <v>88.4</v>
      </c>
      <c r="I100" s="26">
        <v>30</v>
      </c>
      <c r="J100" s="68">
        <v>61.88</v>
      </c>
      <c r="K100" s="84">
        <v>74.76</v>
      </c>
      <c r="L100" s="85" t="s">
        <v>958</v>
      </c>
      <c r="M100" s="27" t="s">
        <v>977</v>
      </c>
      <c r="N100" s="25"/>
      <c r="O100" s="20" t="s">
        <v>28</v>
      </c>
      <c r="P100" s="25" t="s">
        <v>300</v>
      </c>
      <c r="Q100" s="25"/>
    </row>
    <row r="101" spans="1:17" ht="13.5" customHeight="1">
      <c r="A101" s="19" t="s">
        <v>284</v>
      </c>
      <c r="B101" s="20" t="s">
        <v>1168</v>
      </c>
      <c r="C101" s="21">
        <v>9783764360863</v>
      </c>
      <c r="D101" s="22" t="s">
        <v>290</v>
      </c>
      <c r="E101" s="23" t="str">
        <f>HYPERLINK("http://www.springer.com/gp/book/9783764360863","Conference on Recent Shifts in Vegetation Boundaries of Deciduous Forests, Especially Due to General Global Warming")</f>
        <v>Conference on Recent Shifts in Vegetation Boundaries of Deciduous Forests, Especially Due to General Global Warming</v>
      </c>
      <c r="F101" s="24">
        <v>1999</v>
      </c>
      <c r="G101" s="25" t="s">
        <v>957</v>
      </c>
      <c r="H101" s="70">
        <v>322.25</v>
      </c>
      <c r="I101" s="26">
        <v>30</v>
      </c>
      <c r="J101" s="68">
        <v>225.58</v>
      </c>
      <c r="K101" s="84">
        <v>279</v>
      </c>
      <c r="L101" s="85" t="s">
        <v>958</v>
      </c>
      <c r="M101" s="27" t="s">
        <v>977</v>
      </c>
      <c r="N101" s="25"/>
      <c r="O101" s="20" t="s">
        <v>213</v>
      </c>
      <c r="P101" s="25"/>
      <c r="Q101" s="25" t="s">
        <v>291</v>
      </c>
    </row>
    <row r="102" spans="1:17" s="6" customFormat="1" ht="13.5" customHeight="1">
      <c r="A102" s="19" t="s">
        <v>284</v>
      </c>
      <c r="B102" s="20" t="s">
        <v>1165</v>
      </c>
      <c r="C102" s="21">
        <v>9783764360481</v>
      </c>
      <c r="D102" s="22" t="s">
        <v>306</v>
      </c>
      <c r="E102" s="23" t="str">
        <f>HYPERLINK("http://www.springer.com/gp/book/9783764360481","Seismicity Caused by Mines, Fluid Injections, Reservoirs, and Oil Extraction")</f>
        <v>Seismicity Caused by Mines, Fluid Injections, Reservoirs, and Oil Extraction</v>
      </c>
      <c r="F102" s="24">
        <v>1999</v>
      </c>
      <c r="G102" s="25" t="s">
        <v>957</v>
      </c>
      <c r="H102" s="70">
        <v>55.57</v>
      </c>
      <c r="I102" s="26">
        <v>30</v>
      </c>
      <c r="J102" s="68">
        <v>38.9</v>
      </c>
      <c r="K102" s="84">
        <v>46.99</v>
      </c>
      <c r="L102" s="85" t="s">
        <v>958</v>
      </c>
      <c r="M102" s="27" t="s">
        <v>995</v>
      </c>
      <c r="N102" s="25"/>
      <c r="O102" s="20" t="s">
        <v>3</v>
      </c>
      <c r="P102" s="25"/>
      <c r="Q102" s="25" t="s">
        <v>307</v>
      </c>
    </row>
    <row r="103" spans="1:17" ht="13.5" customHeight="1">
      <c r="A103" s="19" t="s">
        <v>284</v>
      </c>
      <c r="B103" s="20" t="s">
        <v>1169</v>
      </c>
      <c r="C103" s="21">
        <v>9783540202967</v>
      </c>
      <c r="D103" s="22" t="s">
        <v>303</v>
      </c>
      <c r="E103" s="23" t="str">
        <f>HYPERLINK("http://www.springer.com/gp/book/9783540202967","Geohazard-associated Geounits")</f>
        <v>Geohazard-associated Geounits</v>
      </c>
      <c r="F103" s="24">
        <v>2009</v>
      </c>
      <c r="G103" s="25" t="s">
        <v>957</v>
      </c>
      <c r="H103" s="70">
        <v>446.16</v>
      </c>
      <c r="I103" s="26">
        <v>25</v>
      </c>
      <c r="J103" s="68">
        <v>334.62</v>
      </c>
      <c r="K103" s="84">
        <v>390</v>
      </c>
      <c r="L103" s="85" t="s">
        <v>958</v>
      </c>
      <c r="M103" s="27" t="s">
        <v>977</v>
      </c>
      <c r="N103" s="25"/>
      <c r="O103" s="20" t="s">
        <v>3</v>
      </c>
      <c r="P103" s="25" t="s">
        <v>304</v>
      </c>
      <c r="Q103" s="25" t="s">
        <v>305</v>
      </c>
    </row>
    <row r="104" spans="1:17" ht="13.5" customHeight="1">
      <c r="A104" s="19" t="s">
        <v>284</v>
      </c>
      <c r="B104" s="20" t="s">
        <v>1166</v>
      </c>
      <c r="C104" s="21">
        <v>9783540727958</v>
      </c>
      <c r="D104" s="22" t="s">
        <v>296</v>
      </c>
      <c r="E104" s="23" t="str">
        <f>HYPERLINK("http://www.springer.com/gp/book/9783540727958","Dictionary of Gems and Gemology")</f>
        <v>Dictionary of Gems and Gemology</v>
      </c>
      <c r="F104" s="24">
        <v>2009</v>
      </c>
      <c r="G104" s="25" t="s">
        <v>957</v>
      </c>
      <c r="H104" s="70">
        <v>456.46</v>
      </c>
      <c r="I104" s="26">
        <v>25</v>
      </c>
      <c r="J104" s="68">
        <v>342.35</v>
      </c>
      <c r="K104" s="84">
        <v>399</v>
      </c>
      <c r="L104" s="85" t="s">
        <v>958</v>
      </c>
      <c r="M104" s="27" t="s">
        <v>977</v>
      </c>
      <c r="N104" s="25" t="s">
        <v>1054</v>
      </c>
      <c r="O104" s="20" t="s">
        <v>297</v>
      </c>
      <c r="P104" s="25"/>
      <c r="Q104" s="25"/>
    </row>
    <row r="105" spans="1:17" ht="13.5" customHeight="1">
      <c r="A105" s="19" t="s">
        <v>284</v>
      </c>
      <c r="B105" s="20" t="s">
        <v>1166</v>
      </c>
      <c r="C105" s="21">
        <v>9789400755444</v>
      </c>
      <c r="D105" s="22" t="s">
        <v>301</v>
      </c>
      <c r="E105" s="23" t="str">
        <f>HYPERLINK("http://www.springer.com/gp/book/9789400755444","Materials Science for Structural Geology")</f>
        <v>Materials Science for Structural Geology</v>
      </c>
      <c r="F105" s="24">
        <v>2013</v>
      </c>
      <c r="G105" s="25" t="s">
        <v>957</v>
      </c>
      <c r="H105" s="70">
        <v>132.81</v>
      </c>
      <c r="I105" s="26">
        <v>20</v>
      </c>
      <c r="J105" s="68">
        <v>106.25</v>
      </c>
      <c r="K105" s="84">
        <v>114.99</v>
      </c>
      <c r="L105" s="85" t="s">
        <v>958</v>
      </c>
      <c r="M105" s="27" t="s">
        <v>977</v>
      </c>
      <c r="N105" s="25"/>
      <c r="O105" s="20" t="s">
        <v>3</v>
      </c>
      <c r="P105" s="25"/>
      <c r="Q105" s="25" t="s">
        <v>302</v>
      </c>
    </row>
    <row r="106" spans="1:17" ht="13.5" customHeight="1">
      <c r="A106" s="19" t="s">
        <v>284</v>
      </c>
      <c r="B106" s="20" t="s">
        <v>1167</v>
      </c>
      <c r="C106" s="21">
        <v>9789048146338</v>
      </c>
      <c r="D106" s="22" t="s">
        <v>288</v>
      </c>
      <c r="E106" s="23" t="str">
        <f>HYPERLINK("http://www.springer.com/gp/book/9789048146338","Sequence Stratigraphy and Depositional Response to Eustatic, Tectonic and Climatic Forcing")</f>
        <v>Sequence Stratigraphy and Depositional Response to Eustatic, Tectonic and Climatic Forcing</v>
      </c>
      <c r="F106" s="24">
        <v>1995</v>
      </c>
      <c r="G106" s="25" t="s">
        <v>957</v>
      </c>
      <c r="H106" s="70">
        <v>225.21</v>
      </c>
      <c r="I106" s="26">
        <v>30</v>
      </c>
      <c r="J106" s="68">
        <v>157.65</v>
      </c>
      <c r="K106" s="84">
        <v>194.99</v>
      </c>
      <c r="L106" s="85" t="s">
        <v>958</v>
      </c>
      <c r="M106" s="27" t="s">
        <v>995</v>
      </c>
      <c r="N106" s="25"/>
      <c r="O106" s="20" t="s">
        <v>10</v>
      </c>
      <c r="P106" s="25"/>
      <c r="Q106" s="25" t="s">
        <v>289</v>
      </c>
    </row>
    <row r="107" spans="1:17" s="6" customFormat="1" ht="13.5" customHeight="1">
      <c r="A107" s="19" t="s">
        <v>284</v>
      </c>
      <c r="B107" s="20" t="s">
        <v>1348</v>
      </c>
      <c r="C107" s="21">
        <v>9783540752981</v>
      </c>
      <c r="D107" s="22" t="s">
        <v>310</v>
      </c>
      <c r="E107" s="23" t="str">
        <f>HYPERLINK("http://www.springer.com/gp/book/9783540752981","Mathematical Methods for Engineers and Geoscientists")</f>
        <v>Mathematical Methods for Engineers and Geoscientists</v>
      </c>
      <c r="F107" s="24">
        <v>2008</v>
      </c>
      <c r="G107" s="25" t="s">
        <v>957</v>
      </c>
      <c r="H107" s="70">
        <v>106.37</v>
      </c>
      <c r="I107" s="26">
        <v>25</v>
      </c>
      <c r="J107" s="68">
        <v>79.78</v>
      </c>
      <c r="K107" s="84">
        <v>89.95</v>
      </c>
      <c r="L107" s="85" t="s">
        <v>958</v>
      </c>
      <c r="M107" s="27" t="s">
        <v>977</v>
      </c>
      <c r="N107" s="25"/>
      <c r="O107" s="20" t="s">
        <v>22</v>
      </c>
      <c r="P107" s="25"/>
      <c r="Q107" s="25"/>
    </row>
    <row r="108" spans="1:17" ht="13.5" customHeight="1">
      <c r="A108" s="28" t="s">
        <v>284</v>
      </c>
      <c r="B108" s="27" t="s">
        <v>1087</v>
      </c>
      <c r="C108" s="29">
        <v>9783540251286</v>
      </c>
      <c r="D108" s="30" t="s">
        <v>1025</v>
      </c>
      <c r="E108" s="31" t="s">
        <v>1026</v>
      </c>
      <c r="F108" s="32">
        <v>2006</v>
      </c>
      <c r="G108" s="33" t="s">
        <v>957</v>
      </c>
      <c r="H108" s="71">
        <v>111.17</v>
      </c>
      <c r="I108" s="26">
        <v>30</v>
      </c>
      <c r="J108" s="68">
        <v>77.82</v>
      </c>
      <c r="K108" s="86">
        <v>96.25</v>
      </c>
      <c r="L108" s="87" t="s">
        <v>958</v>
      </c>
      <c r="M108" s="27" t="s">
        <v>977</v>
      </c>
      <c r="N108" s="29" t="s">
        <v>1086</v>
      </c>
      <c r="O108" s="20" t="s">
        <v>3</v>
      </c>
      <c r="P108" s="27"/>
      <c r="Q108" s="27"/>
    </row>
    <row r="109" spans="1:17" s="6" customFormat="1" ht="13.5" customHeight="1">
      <c r="A109" s="19" t="s">
        <v>284</v>
      </c>
      <c r="B109" s="20" t="s">
        <v>1347</v>
      </c>
      <c r="C109" s="21">
        <v>9783540683544</v>
      </c>
      <c r="D109" s="22" t="s">
        <v>308</v>
      </c>
      <c r="E109" s="23" t="str">
        <f>HYPERLINK("http://www.springer.com/gp/book/9783540683544","Physics of Asymmetric Continuum: Extreme and Fracture Processes")</f>
        <v>Physics of Asymmetric Continuum: Extreme and Fracture Processes</v>
      </c>
      <c r="F109" s="24">
        <v>2008</v>
      </c>
      <c r="G109" s="25" t="s">
        <v>957</v>
      </c>
      <c r="H109" s="70">
        <v>225.21</v>
      </c>
      <c r="I109" s="26">
        <v>25</v>
      </c>
      <c r="J109" s="68">
        <v>168.91</v>
      </c>
      <c r="K109" s="84">
        <v>194.99</v>
      </c>
      <c r="L109" s="85" t="s">
        <v>958</v>
      </c>
      <c r="M109" s="27" t="s">
        <v>977</v>
      </c>
      <c r="N109" s="25"/>
      <c r="O109" s="20" t="s">
        <v>3</v>
      </c>
      <c r="P109" s="25" t="s">
        <v>309</v>
      </c>
      <c r="Q109" s="25"/>
    </row>
    <row r="110" spans="1:17" ht="13.5" customHeight="1">
      <c r="A110" s="19" t="s">
        <v>284</v>
      </c>
      <c r="B110" s="20" t="s">
        <v>1347</v>
      </c>
      <c r="C110" s="21">
        <v>9783540754398</v>
      </c>
      <c r="D110" s="22" t="s">
        <v>292</v>
      </c>
      <c r="E110" s="23" t="str">
        <f>HYPERLINK("http://www.springer.com/gp/book/9783540754398","Biogeochemical Cycles in Globalization and Sustainable Development")</f>
        <v>Biogeochemical Cycles in Globalization and Sustainable Development</v>
      </c>
      <c r="F110" s="24">
        <v>2008</v>
      </c>
      <c r="G110" s="25" t="s">
        <v>957</v>
      </c>
      <c r="H110" s="70">
        <v>299.15</v>
      </c>
      <c r="I110" s="26">
        <v>25</v>
      </c>
      <c r="J110" s="68">
        <v>224.36</v>
      </c>
      <c r="K110" s="84">
        <v>259</v>
      </c>
      <c r="L110" s="85" t="s">
        <v>958</v>
      </c>
      <c r="M110" s="27" t="s">
        <v>977</v>
      </c>
      <c r="N110" s="25"/>
      <c r="O110" s="20" t="s">
        <v>3</v>
      </c>
      <c r="P110" s="25"/>
      <c r="Q110" s="25" t="s">
        <v>293</v>
      </c>
    </row>
    <row r="111" spans="1:17" ht="13.5" customHeight="1">
      <c r="A111" s="19" t="s">
        <v>284</v>
      </c>
      <c r="B111" s="20" t="s">
        <v>1347</v>
      </c>
      <c r="C111" s="21">
        <v>9783540851592</v>
      </c>
      <c r="D111" s="22" t="s">
        <v>287</v>
      </c>
      <c r="E111" s="23" t="str">
        <f>HYPERLINK("http://www.springer.com/gp/book/9783540851592","Exploration Geophysics")</f>
        <v>Exploration Geophysics</v>
      </c>
      <c r="F111" s="24">
        <v>2009</v>
      </c>
      <c r="G111" s="25" t="s">
        <v>957</v>
      </c>
      <c r="H111" s="70">
        <v>115.44</v>
      </c>
      <c r="I111" s="26">
        <v>25</v>
      </c>
      <c r="J111" s="68">
        <v>86.58</v>
      </c>
      <c r="K111" s="84">
        <v>99.95</v>
      </c>
      <c r="L111" s="85" t="s">
        <v>958</v>
      </c>
      <c r="M111" s="27" t="s">
        <v>977</v>
      </c>
      <c r="N111" s="25"/>
      <c r="O111" s="20" t="s">
        <v>22</v>
      </c>
      <c r="P111" s="25"/>
      <c r="Q111" s="25"/>
    </row>
    <row r="112" spans="1:17" ht="13.5" customHeight="1">
      <c r="A112" s="19" t="s">
        <v>284</v>
      </c>
      <c r="B112" s="20" t="s">
        <v>1115</v>
      </c>
      <c r="C112" s="21">
        <v>9783540773306</v>
      </c>
      <c r="D112" s="22" t="s">
        <v>311</v>
      </c>
      <c r="E112" s="23" t="str">
        <f>HYPERLINK("http://www.springer.com/gp/book/9783540773306","Water Management at Abandoned Flooded Underground Mines")</f>
        <v>Water Management at Abandoned Flooded Underground Mines</v>
      </c>
      <c r="F112" s="24">
        <v>2008</v>
      </c>
      <c r="G112" s="25" t="s">
        <v>957</v>
      </c>
      <c r="H112" s="70">
        <v>225.21</v>
      </c>
      <c r="I112" s="26">
        <v>25</v>
      </c>
      <c r="J112" s="68">
        <v>168.91</v>
      </c>
      <c r="K112" s="84">
        <v>194.99</v>
      </c>
      <c r="L112" s="85" t="s">
        <v>958</v>
      </c>
      <c r="M112" s="27" t="s">
        <v>977</v>
      </c>
      <c r="N112" s="25"/>
      <c r="O112" s="20" t="s">
        <v>3</v>
      </c>
      <c r="P112" s="25" t="s">
        <v>312</v>
      </c>
      <c r="Q112" s="25"/>
    </row>
    <row r="113" spans="1:17" ht="13.5" customHeight="1">
      <c r="A113" s="19" t="s">
        <v>284</v>
      </c>
      <c r="B113" s="20" t="s">
        <v>1114</v>
      </c>
      <c r="C113" s="21">
        <v>9783540769521</v>
      </c>
      <c r="D113" s="22" t="s">
        <v>294</v>
      </c>
      <c r="E113" s="23" t="str">
        <f>HYPERLINK("http://www.springer.com/gp/book/9783540769521","The Sun from Space")</f>
        <v>The Sun from Space</v>
      </c>
      <c r="F113" s="24">
        <v>2009</v>
      </c>
      <c r="G113" s="25" t="s">
        <v>957</v>
      </c>
      <c r="H113" s="70">
        <v>82.72</v>
      </c>
      <c r="I113" s="26">
        <v>25</v>
      </c>
      <c r="J113" s="68">
        <v>62.04</v>
      </c>
      <c r="K113" s="84">
        <v>69.95</v>
      </c>
      <c r="L113" s="85" t="s">
        <v>958</v>
      </c>
      <c r="M113" s="27" t="s">
        <v>977</v>
      </c>
      <c r="N113" s="25" t="s">
        <v>1061</v>
      </c>
      <c r="O113" s="20" t="s">
        <v>22</v>
      </c>
      <c r="P113" s="25"/>
      <c r="Q113" s="25" t="s">
        <v>295</v>
      </c>
    </row>
    <row r="114" spans="1:17" ht="13.5" customHeight="1">
      <c r="A114" s="19" t="s">
        <v>314</v>
      </c>
      <c r="B114" s="20" t="s">
        <v>1248</v>
      </c>
      <c r="C114" s="21">
        <v>9783540856849</v>
      </c>
      <c r="D114" s="22" t="s">
        <v>321</v>
      </c>
      <c r="E114" s="23" t="str">
        <f>HYPERLINK("http://www.springer.com/gp/book/9783540856849","Dynamic General Equilibrium Modeling")</f>
        <v>Dynamic General Equilibrium Modeling</v>
      </c>
      <c r="F114" s="24">
        <v>2009</v>
      </c>
      <c r="G114" s="25" t="s">
        <v>957</v>
      </c>
      <c r="H114" s="70">
        <v>173.19</v>
      </c>
      <c r="I114" s="26">
        <v>25</v>
      </c>
      <c r="J114" s="68">
        <v>129.89</v>
      </c>
      <c r="K114" s="84">
        <v>149.95</v>
      </c>
      <c r="L114" s="85" t="s">
        <v>958</v>
      </c>
      <c r="M114" s="27" t="s">
        <v>977</v>
      </c>
      <c r="N114" s="25" t="s">
        <v>1061</v>
      </c>
      <c r="O114" s="20" t="s">
        <v>22</v>
      </c>
      <c r="P114" s="25" t="s">
        <v>322</v>
      </c>
      <c r="Q114" s="25"/>
    </row>
    <row r="115" spans="1:17" ht="13.5" customHeight="1">
      <c r="A115" s="19" t="s">
        <v>314</v>
      </c>
      <c r="B115" s="20" t="s">
        <v>1247</v>
      </c>
      <c r="C115" s="21">
        <v>9783540278047</v>
      </c>
      <c r="D115" s="22" t="s">
        <v>332</v>
      </c>
      <c r="E115" s="23" t="str">
        <f>HYPERLINK("http://www.springer.com/gp/book/9783540278047","Health Economics")</f>
        <v>Health Economics</v>
      </c>
      <c r="F115" s="24">
        <v>2009</v>
      </c>
      <c r="G115" s="25" t="s">
        <v>957</v>
      </c>
      <c r="H115" s="70">
        <v>106.37</v>
      </c>
      <c r="I115" s="26">
        <v>25</v>
      </c>
      <c r="J115" s="68">
        <v>79.78</v>
      </c>
      <c r="K115" s="84">
        <v>89.95</v>
      </c>
      <c r="L115" s="85" t="s">
        <v>958</v>
      </c>
      <c r="M115" s="27" t="s">
        <v>977</v>
      </c>
      <c r="N115" s="25" t="s">
        <v>1061</v>
      </c>
      <c r="O115" s="20" t="s">
        <v>22</v>
      </c>
      <c r="P115" s="25"/>
      <c r="Q115" s="25"/>
    </row>
    <row r="116" spans="1:17" s="6" customFormat="1" ht="13.5" customHeight="1">
      <c r="A116" s="19" t="s">
        <v>314</v>
      </c>
      <c r="B116" s="20" t="s">
        <v>1247</v>
      </c>
      <c r="C116" s="21">
        <v>9783642273636</v>
      </c>
      <c r="D116" s="22" t="s">
        <v>326</v>
      </c>
      <c r="E116" s="23" t="str">
        <f>HYPERLINK("http://www.springer.com/gp/book/9783642273636","The New World of Economics")</f>
        <v>The New World of Economics</v>
      </c>
      <c r="F116" s="24">
        <v>2012</v>
      </c>
      <c r="G116" s="25" t="s">
        <v>957</v>
      </c>
      <c r="H116" s="70">
        <v>94.54</v>
      </c>
      <c r="I116" s="26">
        <v>20</v>
      </c>
      <c r="J116" s="68">
        <v>75.63</v>
      </c>
      <c r="K116" s="84">
        <v>79.95</v>
      </c>
      <c r="L116" s="85" t="s">
        <v>958</v>
      </c>
      <c r="M116" s="27" t="s">
        <v>995</v>
      </c>
      <c r="N116" s="25" t="s">
        <v>1110</v>
      </c>
      <c r="O116" s="20" t="s">
        <v>183</v>
      </c>
      <c r="P116" s="25" t="s">
        <v>327</v>
      </c>
      <c r="Q116" s="25"/>
    </row>
    <row r="117" spans="1:17" ht="13.5" customHeight="1">
      <c r="A117" s="19" t="s">
        <v>314</v>
      </c>
      <c r="B117" s="20" t="s">
        <v>1233</v>
      </c>
      <c r="C117" s="21">
        <v>9783790815870</v>
      </c>
      <c r="D117" s="22" t="s">
        <v>315</v>
      </c>
      <c r="E117" s="23" t="str">
        <f>HYPERLINK("http://www.springer.com/gp/book/9783790815870","Applied Research in Environmental Economics")</f>
        <v>Applied Research in Environmental Economics</v>
      </c>
      <c r="F117" s="24">
        <v>2005</v>
      </c>
      <c r="G117" s="25" t="s">
        <v>957</v>
      </c>
      <c r="H117" s="70">
        <v>161.69</v>
      </c>
      <c r="I117" s="26">
        <v>30</v>
      </c>
      <c r="J117" s="68">
        <v>113.18</v>
      </c>
      <c r="K117" s="84">
        <v>139.99</v>
      </c>
      <c r="L117" s="85" t="s">
        <v>958</v>
      </c>
      <c r="M117" s="27" t="s">
        <v>995</v>
      </c>
      <c r="N117" s="25"/>
      <c r="O117" s="20" t="s">
        <v>3</v>
      </c>
      <c r="P117" s="25"/>
      <c r="Q117" s="25" t="s">
        <v>316</v>
      </c>
    </row>
    <row r="118" spans="1:17" ht="13.5" customHeight="1">
      <c r="A118" s="19" t="s">
        <v>314</v>
      </c>
      <c r="B118" s="20" t="s">
        <v>1233</v>
      </c>
      <c r="C118" s="21">
        <v>9789400750883</v>
      </c>
      <c r="D118" s="22" t="s">
        <v>317</v>
      </c>
      <c r="E118" s="23" t="str">
        <f>HYPERLINK("http://www.springer.com/gp/book/9789400750883","The Dynamics of Environmental and Economic Systems")</f>
        <v>The Dynamics of Environmental and Economic Systems</v>
      </c>
      <c r="F118" s="24">
        <v>2013</v>
      </c>
      <c r="G118" s="25" t="s">
        <v>957</v>
      </c>
      <c r="H118" s="70">
        <v>132.81</v>
      </c>
      <c r="I118" s="26">
        <v>20</v>
      </c>
      <c r="J118" s="68">
        <v>106.25</v>
      </c>
      <c r="K118" s="84">
        <v>114.99</v>
      </c>
      <c r="L118" s="85" t="s">
        <v>958</v>
      </c>
      <c r="M118" s="27" t="s">
        <v>977</v>
      </c>
      <c r="N118" s="25"/>
      <c r="O118" s="20" t="s">
        <v>10</v>
      </c>
      <c r="P118" s="25" t="s">
        <v>318</v>
      </c>
      <c r="Q118" s="25"/>
    </row>
    <row r="119" spans="1:17" s="6" customFormat="1" ht="13.5" customHeight="1">
      <c r="A119" s="19" t="s">
        <v>314</v>
      </c>
      <c r="B119" s="20" t="s">
        <v>1250</v>
      </c>
      <c r="C119" s="21">
        <v>9783642165634</v>
      </c>
      <c r="D119" s="22" t="s">
        <v>319</v>
      </c>
      <c r="E119" s="23" t="str">
        <f>HYPERLINK("http://www.springer.com/gp/book/9783642165634","The Trade Impact of European Union Preferential  Policies")</f>
        <v>The Trade Impact of European Union Preferential  Policies</v>
      </c>
      <c r="F119" s="24">
        <v>2011</v>
      </c>
      <c r="G119" s="25" t="s">
        <v>957</v>
      </c>
      <c r="H119" s="70">
        <v>127.04</v>
      </c>
      <c r="I119" s="26">
        <v>25</v>
      </c>
      <c r="J119" s="68">
        <v>95.28</v>
      </c>
      <c r="K119" s="84">
        <v>109.99</v>
      </c>
      <c r="L119" s="85" t="s">
        <v>958</v>
      </c>
      <c r="M119" s="27" t="s">
        <v>977</v>
      </c>
      <c r="N119" s="25"/>
      <c r="O119" s="20" t="s">
        <v>3</v>
      </c>
      <c r="P119" s="25" t="s">
        <v>320</v>
      </c>
      <c r="Q119" s="25"/>
    </row>
    <row r="120" spans="1:17" ht="13.5" customHeight="1">
      <c r="A120" s="19" t="s">
        <v>314</v>
      </c>
      <c r="B120" s="20" t="s">
        <v>1249</v>
      </c>
      <c r="C120" s="21">
        <v>9783642001062</v>
      </c>
      <c r="D120" s="22" t="s">
        <v>331</v>
      </c>
      <c r="E120" s="23" t="str">
        <f>HYPERLINK("http://www.springer.com/gp/book/9783642001062","The Economics of Foreign Exchange and Global Finance")</f>
        <v>The Economics of Foreign Exchange and Global Finance</v>
      </c>
      <c r="F120" s="24">
        <v>2009</v>
      </c>
      <c r="G120" s="25" t="s">
        <v>957</v>
      </c>
      <c r="H120" s="70">
        <v>126.99</v>
      </c>
      <c r="I120" s="26">
        <v>25</v>
      </c>
      <c r="J120" s="68">
        <v>95.24</v>
      </c>
      <c r="K120" s="84">
        <v>109.95</v>
      </c>
      <c r="L120" s="85" t="s">
        <v>958</v>
      </c>
      <c r="M120" s="27" t="s">
        <v>977</v>
      </c>
      <c r="N120" s="25" t="s">
        <v>1061</v>
      </c>
      <c r="O120" s="20" t="s">
        <v>22</v>
      </c>
      <c r="P120" s="25"/>
      <c r="Q120" s="25"/>
    </row>
    <row r="121" spans="1:17" ht="13.5" customHeight="1">
      <c r="A121" s="19" t="s">
        <v>314</v>
      </c>
      <c r="B121" s="20" t="s">
        <v>1249</v>
      </c>
      <c r="C121" s="21">
        <v>9781461444596</v>
      </c>
      <c r="D121" s="22" t="s">
        <v>313</v>
      </c>
      <c r="E121" s="23" t="str">
        <f>HYPERLINK("http://www.springer.com/gp/book/9781461444596","Macroeconomic Analysis and Parametric Control of a National Economy")</f>
        <v>Macroeconomic Analysis and Parametric Control of a National Economy</v>
      </c>
      <c r="F121" s="24">
        <v>2013</v>
      </c>
      <c r="G121" s="25" t="s">
        <v>957</v>
      </c>
      <c r="H121" s="70">
        <v>127.04</v>
      </c>
      <c r="I121" s="26">
        <v>20</v>
      </c>
      <c r="J121" s="68">
        <v>101.63</v>
      </c>
      <c r="K121" s="84">
        <v>109.99</v>
      </c>
      <c r="L121" s="85" t="s">
        <v>958</v>
      </c>
      <c r="M121" s="27" t="s">
        <v>977</v>
      </c>
      <c r="N121" s="25"/>
      <c r="O121" s="20" t="s">
        <v>3</v>
      </c>
      <c r="P121" s="25"/>
      <c r="Q121" s="25"/>
    </row>
    <row r="122" spans="1:17" ht="13.5" customHeight="1">
      <c r="A122" s="19" t="s">
        <v>314</v>
      </c>
      <c r="B122" s="20" t="s">
        <v>1234</v>
      </c>
      <c r="C122" s="21">
        <v>9783642317781</v>
      </c>
      <c r="D122" s="22" t="s">
        <v>328</v>
      </c>
      <c r="E122" s="23" t="str">
        <f>HYPERLINK("http://www.springer.com/gp/book/9783642317781","Employment Location in Cities and Regions")</f>
        <v>Employment Location in Cities and Regions</v>
      </c>
      <c r="F122" s="24">
        <v>2013</v>
      </c>
      <c r="G122" s="25" t="s">
        <v>957</v>
      </c>
      <c r="H122" s="70">
        <v>161.69</v>
      </c>
      <c r="I122" s="26">
        <v>20</v>
      </c>
      <c r="J122" s="68">
        <v>129.35</v>
      </c>
      <c r="K122" s="84">
        <v>139.99</v>
      </c>
      <c r="L122" s="85" t="s">
        <v>958</v>
      </c>
      <c r="M122" s="27" t="s">
        <v>977</v>
      </c>
      <c r="N122" s="25"/>
      <c r="O122" s="20" t="s">
        <v>10</v>
      </c>
      <c r="P122" s="25" t="s">
        <v>329</v>
      </c>
      <c r="Q122" s="25" t="s">
        <v>330</v>
      </c>
    </row>
    <row r="123" spans="1:17" s="6" customFormat="1" ht="13.5" customHeight="1">
      <c r="A123" s="19" t="s">
        <v>314</v>
      </c>
      <c r="B123" s="20" t="s">
        <v>1232</v>
      </c>
      <c r="C123" s="21">
        <v>9783642225482</v>
      </c>
      <c r="D123" s="22" t="s">
        <v>323</v>
      </c>
      <c r="E123" s="23" t="str">
        <f>HYPERLINK("http://www.springer.com/gp/book/9783642225482","Variations of the Welfare State")</f>
        <v>Variations of the Welfare State</v>
      </c>
      <c r="F123" s="24">
        <v>2013</v>
      </c>
      <c r="G123" s="25" t="s">
        <v>957</v>
      </c>
      <c r="H123" s="70">
        <v>115.44</v>
      </c>
      <c r="I123" s="26">
        <v>20</v>
      </c>
      <c r="J123" s="68">
        <v>92.35</v>
      </c>
      <c r="K123" s="84">
        <v>99.95</v>
      </c>
      <c r="L123" s="85" t="s">
        <v>958</v>
      </c>
      <c r="M123" s="27" t="s">
        <v>977</v>
      </c>
      <c r="N123" s="25"/>
      <c r="O123" s="20" t="s">
        <v>3</v>
      </c>
      <c r="P123" s="25" t="s">
        <v>324</v>
      </c>
      <c r="Q123" s="25" t="s">
        <v>325</v>
      </c>
    </row>
    <row r="124" spans="1:17" ht="13.5" customHeight="1">
      <c r="A124" s="19" t="s">
        <v>334</v>
      </c>
      <c r="B124" s="20" t="s">
        <v>1207</v>
      </c>
      <c r="C124" s="21">
        <v>9789400752696</v>
      </c>
      <c r="D124" s="22" t="s">
        <v>341</v>
      </c>
      <c r="E124" s="23" t="str">
        <f>HYPERLINK("http://www.springer.com/gp/book/9789400752696","Gender, Religion and Education in a Chaotic Postmodern World")</f>
        <v>Gender, Religion and Education in a Chaotic Postmodern World</v>
      </c>
      <c r="F124" s="24">
        <v>2013</v>
      </c>
      <c r="G124" s="25" t="s">
        <v>957</v>
      </c>
      <c r="H124" s="70">
        <v>173.24</v>
      </c>
      <c r="I124" s="26">
        <v>20</v>
      </c>
      <c r="J124" s="68">
        <v>138.59</v>
      </c>
      <c r="K124" s="84">
        <v>149.99</v>
      </c>
      <c r="L124" s="85" t="s">
        <v>958</v>
      </c>
      <c r="M124" s="27" t="s">
        <v>977</v>
      </c>
      <c r="N124" s="25"/>
      <c r="O124" s="20" t="s">
        <v>10</v>
      </c>
      <c r="P124" s="25"/>
      <c r="Q124" s="25"/>
    </row>
    <row r="125" spans="1:17" ht="13.5" customHeight="1">
      <c r="A125" s="19" t="s">
        <v>334</v>
      </c>
      <c r="B125" s="20" t="s">
        <v>1212</v>
      </c>
      <c r="C125" s="21">
        <v>9781461432746</v>
      </c>
      <c r="D125" s="22" t="s">
        <v>342</v>
      </c>
      <c r="E125" s="23" t="str">
        <f>HYPERLINK("http://www.springer.com/gp/book/9781461432746","Working Knowledge")</f>
        <v>Working Knowledge</v>
      </c>
      <c r="F125" s="24">
        <v>2013</v>
      </c>
      <c r="G125" s="25" t="s">
        <v>957</v>
      </c>
      <c r="H125" s="70">
        <v>47.29</v>
      </c>
      <c r="I125" s="26">
        <v>20</v>
      </c>
      <c r="J125" s="68">
        <v>37.83</v>
      </c>
      <c r="K125" s="84">
        <v>39.99</v>
      </c>
      <c r="L125" s="85" t="s">
        <v>958</v>
      </c>
      <c r="M125" s="27" t="s">
        <v>995</v>
      </c>
      <c r="N125" s="25"/>
      <c r="O125" s="20" t="s">
        <v>344</v>
      </c>
      <c r="P125" s="25" t="s">
        <v>343</v>
      </c>
      <c r="Q125" s="25"/>
    </row>
    <row r="126" spans="1:17" ht="13.5" customHeight="1">
      <c r="A126" s="19" t="s">
        <v>334</v>
      </c>
      <c r="B126" s="20" t="s">
        <v>1293</v>
      </c>
      <c r="C126" s="21">
        <v>9781402082238</v>
      </c>
      <c r="D126" s="22" t="s">
        <v>348</v>
      </c>
      <c r="E126" s="23" t="str">
        <f>HYPERLINK("http://www.springer.com/gp/book/9781402082238","Knowledge and Critical Pedagogy")</f>
        <v>Knowledge and Critical Pedagogy</v>
      </c>
      <c r="F126" s="24">
        <v>2008</v>
      </c>
      <c r="G126" s="25" t="s">
        <v>957</v>
      </c>
      <c r="H126" s="70">
        <v>173.24</v>
      </c>
      <c r="I126" s="26">
        <v>25</v>
      </c>
      <c r="J126" s="68">
        <v>129.93</v>
      </c>
      <c r="K126" s="84">
        <v>149.99</v>
      </c>
      <c r="L126" s="85" t="s">
        <v>958</v>
      </c>
      <c r="M126" s="27" t="s">
        <v>977</v>
      </c>
      <c r="N126" s="25"/>
      <c r="O126" s="20" t="s">
        <v>3</v>
      </c>
      <c r="P126" s="25" t="s">
        <v>257</v>
      </c>
      <c r="Q126" s="25" t="s">
        <v>349</v>
      </c>
    </row>
    <row r="127" spans="1:17" ht="13.5" customHeight="1">
      <c r="A127" s="19" t="s">
        <v>334</v>
      </c>
      <c r="B127" s="20" t="s">
        <v>1292</v>
      </c>
      <c r="C127" s="21">
        <v>9780387711355</v>
      </c>
      <c r="D127" s="22" t="s">
        <v>345</v>
      </c>
      <c r="E127" s="23" t="str">
        <f>HYPERLINK("http://www.springer.com/gp/book/9780387711355","The Role of Technology in CSCL")</f>
        <v>The Role of Technology in CSCL</v>
      </c>
      <c r="F127" s="24">
        <v>2007</v>
      </c>
      <c r="G127" s="25" t="s">
        <v>957</v>
      </c>
      <c r="H127" s="70">
        <v>173.24</v>
      </c>
      <c r="I127" s="26">
        <v>30</v>
      </c>
      <c r="J127" s="68">
        <v>121.27</v>
      </c>
      <c r="K127" s="84">
        <v>149.99</v>
      </c>
      <c r="L127" s="85" t="s">
        <v>958</v>
      </c>
      <c r="M127" s="27" t="s">
        <v>977</v>
      </c>
      <c r="N127" s="25"/>
      <c r="O127" s="20" t="s">
        <v>10</v>
      </c>
      <c r="P127" s="25" t="s">
        <v>346</v>
      </c>
      <c r="Q127" s="25" t="s">
        <v>347</v>
      </c>
    </row>
    <row r="128" spans="1:17" ht="13.5" customHeight="1">
      <c r="A128" s="19" t="s">
        <v>334</v>
      </c>
      <c r="B128" s="20" t="s">
        <v>1292</v>
      </c>
      <c r="C128" s="21">
        <v>9783540741541</v>
      </c>
      <c r="D128" s="22" t="s">
        <v>333</v>
      </c>
      <c r="E128" s="23" t="str">
        <f>HYPERLINK("http://www.springer.com/gp/book/9783540741541","Handbook on Information Technologies for Education and Training")</f>
        <v>Handbook on Information Technologies for Education and Training</v>
      </c>
      <c r="F128" s="24">
        <v>2008</v>
      </c>
      <c r="G128" s="25" t="s">
        <v>957</v>
      </c>
      <c r="H128" s="70">
        <v>264.5</v>
      </c>
      <c r="I128" s="26">
        <v>25</v>
      </c>
      <c r="J128" s="68">
        <v>198.38</v>
      </c>
      <c r="K128" s="84">
        <v>229</v>
      </c>
      <c r="L128" s="85" t="s">
        <v>958</v>
      </c>
      <c r="M128" s="27" t="s">
        <v>977</v>
      </c>
      <c r="N128" s="25" t="s">
        <v>1061</v>
      </c>
      <c r="O128" s="20" t="s">
        <v>8</v>
      </c>
      <c r="P128" s="25"/>
      <c r="Q128" s="25" t="s">
        <v>335</v>
      </c>
    </row>
    <row r="129" spans="1:17" ht="13.5" customHeight="1">
      <c r="A129" s="19" t="s">
        <v>334</v>
      </c>
      <c r="B129" s="20" t="s">
        <v>1292</v>
      </c>
      <c r="C129" s="21">
        <v>9781441985163</v>
      </c>
      <c r="D129" s="22" t="s">
        <v>339</v>
      </c>
      <c r="E129" s="23" t="str">
        <f>HYPERLINK("http://www.springer.com/gp/book/9781441985163","Designing for Learning in an Open World")</f>
        <v>Designing for Learning in an Open World</v>
      </c>
      <c r="F129" s="24">
        <v>2013</v>
      </c>
      <c r="G129" s="25" t="s">
        <v>957</v>
      </c>
      <c r="H129" s="70">
        <v>179.01</v>
      </c>
      <c r="I129" s="26">
        <v>20</v>
      </c>
      <c r="J129" s="68">
        <v>143.21</v>
      </c>
      <c r="K129" s="84">
        <v>154.99</v>
      </c>
      <c r="L129" s="85" t="s">
        <v>958</v>
      </c>
      <c r="M129" s="27" t="s">
        <v>977</v>
      </c>
      <c r="N129" s="25"/>
      <c r="O129" s="20" t="s">
        <v>3</v>
      </c>
      <c r="P129" s="25"/>
      <c r="Q129" s="25" t="s">
        <v>340</v>
      </c>
    </row>
    <row r="130" spans="1:17" ht="13.5" customHeight="1">
      <c r="A130" s="19" t="s">
        <v>334</v>
      </c>
      <c r="B130" s="20" t="s">
        <v>1288</v>
      </c>
      <c r="C130" s="21">
        <v>9781402069581</v>
      </c>
      <c r="D130" s="22" t="s">
        <v>351</v>
      </c>
      <c r="E130" s="23" t="str">
        <f>HYPERLINK("http://www.springer.com/gp/book/9781402069581","Higher Education: Handbook of Theory and Research")</f>
        <v>Higher Education: Handbook of Theory and Research</v>
      </c>
      <c r="F130" s="24">
        <v>2008</v>
      </c>
      <c r="G130" s="25" t="s">
        <v>957</v>
      </c>
      <c r="H130" s="70">
        <v>219.39</v>
      </c>
      <c r="I130" s="26">
        <v>25</v>
      </c>
      <c r="J130" s="68">
        <v>164.54</v>
      </c>
      <c r="K130" s="84">
        <v>189.95</v>
      </c>
      <c r="L130" s="85" t="s">
        <v>958</v>
      </c>
      <c r="M130" s="27" t="s">
        <v>977</v>
      </c>
      <c r="N130" s="25"/>
      <c r="O130" s="20" t="s">
        <v>8</v>
      </c>
      <c r="P130" s="25"/>
      <c r="Q130" s="25" t="s">
        <v>352</v>
      </c>
    </row>
    <row r="131" spans="1:17" ht="13.5" customHeight="1">
      <c r="A131" s="19" t="s">
        <v>334</v>
      </c>
      <c r="B131" s="20" t="s">
        <v>1291</v>
      </c>
      <c r="C131" s="21">
        <v>9780387728582</v>
      </c>
      <c r="D131" s="22" t="s">
        <v>336</v>
      </c>
      <c r="E131" s="23" t="str">
        <f>HYPERLINK("http://www.springer.com/gp/book/9780387728582","The Language of Mathematics")</f>
        <v>The Language of Mathematics</v>
      </c>
      <c r="F131" s="24">
        <v>2008</v>
      </c>
      <c r="G131" s="25" t="s">
        <v>957</v>
      </c>
      <c r="H131" s="70">
        <v>173.24</v>
      </c>
      <c r="I131" s="26">
        <v>25</v>
      </c>
      <c r="J131" s="68">
        <v>129.93</v>
      </c>
      <c r="K131" s="84">
        <v>149.99</v>
      </c>
      <c r="L131" s="85" t="s">
        <v>958</v>
      </c>
      <c r="M131" s="27" t="s">
        <v>977</v>
      </c>
      <c r="N131" s="25"/>
      <c r="O131" s="20" t="s">
        <v>3</v>
      </c>
      <c r="P131" s="25" t="s">
        <v>337</v>
      </c>
      <c r="Q131" s="25" t="s">
        <v>338</v>
      </c>
    </row>
    <row r="132" spans="1:17" ht="13.5" customHeight="1">
      <c r="A132" s="19" t="s">
        <v>334</v>
      </c>
      <c r="B132" s="20" t="s">
        <v>1291</v>
      </c>
      <c r="C132" s="21">
        <v>9781461442882</v>
      </c>
      <c r="D132" s="22" t="s">
        <v>355</v>
      </c>
      <c r="E132" s="23" t="str">
        <f>HYPERLINK("http://www.springer.com/gp/book/9781461442882","English for Academic Research: Grammar Exercises")</f>
        <v>English for Academic Research: Grammar Exercises</v>
      </c>
      <c r="F132" s="24">
        <v>2013</v>
      </c>
      <c r="G132" s="25" t="s">
        <v>957</v>
      </c>
      <c r="H132" s="70">
        <v>20.51</v>
      </c>
      <c r="I132" s="26">
        <v>20</v>
      </c>
      <c r="J132" s="68">
        <v>16.41</v>
      </c>
      <c r="K132" s="84">
        <v>16.95</v>
      </c>
      <c r="L132" s="85" t="s">
        <v>958</v>
      </c>
      <c r="M132" s="27" t="s">
        <v>995</v>
      </c>
      <c r="N132" s="25"/>
      <c r="O132" s="20" t="s">
        <v>356</v>
      </c>
      <c r="P132" s="25"/>
      <c r="Q132" s="25"/>
    </row>
    <row r="133" spans="1:17" ht="13.5" customHeight="1">
      <c r="A133" s="19" t="s">
        <v>334</v>
      </c>
      <c r="B133" s="20" t="s">
        <v>1291</v>
      </c>
      <c r="C133" s="21">
        <v>9781461415923</v>
      </c>
      <c r="D133" s="22" t="s">
        <v>355</v>
      </c>
      <c r="E133" s="23" t="str">
        <f>HYPERLINK("http://www.springer.com/gp/book/9781461415923","English for Research: Usage, Style, and Grammar")</f>
        <v>English for Research: Usage, Style, and Grammar</v>
      </c>
      <c r="F133" s="24">
        <v>2013</v>
      </c>
      <c r="G133" s="25" t="s">
        <v>957</v>
      </c>
      <c r="H133" s="70">
        <v>29.5</v>
      </c>
      <c r="I133" s="26">
        <v>20</v>
      </c>
      <c r="J133" s="68">
        <v>23.6</v>
      </c>
      <c r="K133" s="84">
        <v>24.95</v>
      </c>
      <c r="L133" s="85" t="s">
        <v>958</v>
      </c>
      <c r="M133" s="27" t="s">
        <v>995</v>
      </c>
      <c r="N133" s="25"/>
      <c r="O133" s="20" t="s">
        <v>3</v>
      </c>
      <c r="P133" s="25"/>
      <c r="Q133" s="25"/>
    </row>
    <row r="134" spans="1:17" ht="13.5" customHeight="1">
      <c r="A134" s="19" t="s">
        <v>334</v>
      </c>
      <c r="B134" s="20" t="s">
        <v>1289</v>
      </c>
      <c r="C134" s="21">
        <v>9781402052804</v>
      </c>
      <c r="D134" s="22" t="s">
        <v>350</v>
      </c>
      <c r="E134" s="23" t="str">
        <f>HYPERLINK("http://www.springer.com/gp/book/9781402052804","International Handbook of Education for the Changing World of Work")</f>
        <v>International Handbook of Education for the Changing World of Work</v>
      </c>
      <c r="F134" s="24">
        <v>2009</v>
      </c>
      <c r="G134" s="25" t="s">
        <v>957</v>
      </c>
      <c r="H134" s="70">
        <v>950.59</v>
      </c>
      <c r="I134" s="26">
        <v>25</v>
      </c>
      <c r="J134" s="68">
        <v>712.94</v>
      </c>
      <c r="K134" s="84">
        <v>839</v>
      </c>
      <c r="L134" s="85" t="s">
        <v>958</v>
      </c>
      <c r="M134" s="27" t="s">
        <v>977</v>
      </c>
      <c r="N134" s="25"/>
      <c r="O134" s="20" t="s">
        <v>8</v>
      </c>
      <c r="P134" s="25" t="s">
        <v>1362</v>
      </c>
      <c r="Q134" s="25"/>
    </row>
    <row r="135" spans="1:17" ht="13.5" customHeight="1">
      <c r="A135" s="19" t="s">
        <v>334</v>
      </c>
      <c r="B135" s="20" t="s">
        <v>1290</v>
      </c>
      <c r="C135" s="21">
        <v>9789048139446</v>
      </c>
      <c r="D135" s="22" t="s">
        <v>353</v>
      </c>
      <c r="E135" s="23" t="str">
        <f>HYPERLINK("http://www.springer.com/gp/book/9789048139446","Critical Peace Education")</f>
        <v>Critical Peace Education</v>
      </c>
      <c r="F135" s="24">
        <v>2013</v>
      </c>
      <c r="G135" s="25" t="s">
        <v>957</v>
      </c>
      <c r="H135" s="70">
        <v>132.81</v>
      </c>
      <c r="I135" s="26">
        <v>20</v>
      </c>
      <c r="J135" s="68">
        <v>106.25</v>
      </c>
      <c r="K135" s="84">
        <v>114.99</v>
      </c>
      <c r="L135" s="85" t="s">
        <v>958</v>
      </c>
      <c r="M135" s="27" t="s">
        <v>977</v>
      </c>
      <c r="N135" s="25"/>
      <c r="O135" s="20" t="s">
        <v>10</v>
      </c>
      <c r="P135" s="25" t="s">
        <v>354</v>
      </c>
      <c r="Q135" s="25"/>
    </row>
    <row r="136" spans="1:17" ht="13.5" customHeight="1">
      <c r="A136" s="19" t="s">
        <v>358</v>
      </c>
      <c r="B136" s="20" t="s">
        <v>1127</v>
      </c>
      <c r="C136" s="21">
        <v>9781447141648</v>
      </c>
      <c r="D136" s="22" t="s">
        <v>364</v>
      </c>
      <c r="E136" s="23" t="str">
        <f>HYPERLINK("http://www.springer.com/gp/book/9781447141648","Exergy")</f>
        <v>Exergy</v>
      </c>
      <c r="F136" s="24">
        <v>2013</v>
      </c>
      <c r="G136" s="25" t="s">
        <v>957</v>
      </c>
      <c r="H136" s="70">
        <v>173.24</v>
      </c>
      <c r="I136" s="26">
        <v>20</v>
      </c>
      <c r="J136" s="68">
        <v>138.59</v>
      </c>
      <c r="K136" s="84">
        <v>149.99</v>
      </c>
      <c r="L136" s="85" t="s">
        <v>958</v>
      </c>
      <c r="M136" s="27" t="s">
        <v>977</v>
      </c>
      <c r="N136" s="25"/>
      <c r="O136" s="20" t="s">
        <v>3</v>
      </c>
      <c r="P136" s="25" t="s">
        <v>365</v>
      </c>
      <c r="Q136" s="25" t="s">
        <v>362</v>
      </c>
    </row>
    <row r="137" spans="1:17" ht="13.5" customHeight="1">
      <c r="A137" s="19" t="s">
        <v>358</v>
      </c>
      <c r="B137" s="20" t="s">
        <v>1129</v>
      </c>
      <c r="C137" s="21">
        <v>9781461419624</v>
      </c>
      <c r="D137" s="22" t="s">
        <v>363</v>
      </c>
      <c r="E137" s="23" t="str">
        <f>HYPERLINK("http://www.springer.com/gp/book/9781461419624","Advanced Thermal Management Materials")</f>
        <v>Advanced Thermal Management Materials</v>
      </c>
      <c r="F137" s="24">
        <v>2013</v>
      </c>
      <c r="G137" s="25" t="s">
        <v>957</v>
      </c>
      <c r="H137" s="70">
        <v>127.04</v>
      </c>
      <c r="I137" s="26">
        <v>20</v>
      </c>
      <c r="J137" s="68">
        <v>101.63</v>
      </c>
      <c r="K137" s="84">
        <v>109.99</v>
      </c>
      <c r="L137" s="85" t="s">
        <v>958</v>
      </c>
      <c r="M137" s="27" t="s">
        <v>977</v>
      </c>
      <c r="N137" s="25"/>
      <c r="O137" s="20" t="s">
        <v>3</v>
      </c>
      <c r="P137" s="25"/>
      <c r="Q137" s="25"/>
    </row>
    <row r="138" spans="1:17" ht="13.5" customHeight="1">
      <c r="A138" s="19" t="s">
        <v>358</v>
      </c>
      <c r="B138" s="20" t="s">
        <v>1130</v>
      </c>
      <c r="C138" s="21">
        <v>9789048133611</v>
      </c>
      <c r="D138" s="22" t="s">
        <v>894</v>
      </c>
      <c r="E138" s="23" t="str">
        <f>HYPERLINK("http://www.springer.com/gp/book/9789048133611","Muslim Societies and the Challenge of Secularization: An Interdisciplinary Approach")</f>
        <v>Muslim Societies and the Challenge of Secularization: An Interdisciplinary Approach</v>
      </c>
      <c r="F138" s="24">
        <v>2010</v>
      </c>
      <c r="G138" s="25" t="s">
        <v>957</v>
      </c>
      <c r="H138" s="70">
        <v>173.24</v>
      </c>
      <c r="I138" s="26">
        <v>25</v>
      </c>
      <c r="J138" s="68">
        <v>129.93</v>
      </c>
      <c r="K138" s="84">
        <v>149.99</v>
      </c>
      <c r="L138" s="85" t="s">
        <v>958</v>
      </c>
      <c r="M138" s="27" t="s">
        <v>977</v>
      </c>
      <c r="N138" s="25"/>
      <c r="O138" s="20" t="s">
        <v>10</v>
      </c>
      <c r="P138" s="25"/>
      <c r="Q138" s="25" t="s">
        <v>895</v>
      </c>
    </row>
    <row r="139" spans="1:17" ht="13.5" customHeight="1">
      <c r="A139" s="19" t="s">
        <v>358</v>
      </c>
      <c r="B139" s="20" t="s">
        <v>1130</v>
      </c>
      <c r="C139" s="21">
        <v>9781402082641</v>
      </c>
      <c r="D139" s="22" t="s">
        <v>896</v>
      </c>
      <c r="E139" s="23" t="str">
        <f>HYPERLINK("http://www.springer.com/gp/book/9781402082641","Encyclopedia of Sciences and Religions")</f>
        <v>Encyclopedia of Sciences and Religions</v>
      </c>
      <c r="F139" s="24">
        <v>2013</v>
      </c>
      <c r="G139" s="25" t="s">
        <v>957</v>
      </c>
      <c r="H139" s="70">
        <v>1346.4</v>
      </c>
      <c r="I139" s="26">
        <v>25</v>
      </c>
      <c r="J139" s="68">
        <v>1009.8</v>
      </c>
      <c r="K139" s="84">
        <v>1200</v>
      </c>
      <c r="L139" s="85" t="s">
        <v>958</v>
      </c>
      <c r="M139" s="27" t="s">
        <v>977</v>
      </c>
      <c r="N139" s="25"/>
      <c r="O139" s="20" t="s">
        <v>52</v>
      </c>
      <c r="P139" s="25" t="s">
        <v>1360</v>
      </c>
      <c r="Q139" s="25"/>
    </row>
    <row r="140" spans="1:17" ht="13.5" customHeight="1">
      <c r="A140" s="19" t="s">
        <v>358</v>
      </c>
      <c r="B140" s="20" t="s">
        <v>1128</v>
      </c>
      <c r="C140" s="21">
        <v>9781447144557</v>
      </c>
      <c r="D140" s="22" t="s">
        <v>360</v>
      </c>
      <c r="E140" s="23" t="str">
        <f>HYPERLINK("http://www.springer.com/gp/book/9781447144557","Solid Oxide Fuels Cells: Facts and Figures")</f>
        <v>Solid Oxide Fuels Cells: Facts and Figures</v>
      </c>
      <c r="F140" s="24">
        <v>2013</v>
      </c>
      <c r="G140" s="25" t="s">
        <v>957</v>
      </c>
      <c r="H140" s="70">
        <v>132.81</v>
      </c>
      <c r="I140" s="26">
        <v>20</v>
      </c>
      <c r="J140" s="68">
        <v>106.25</v>
      </c>
      <c r="K140" s="84">
        <v>114.99</v>
      </c>
      <c r="L140" s="85" t="s">
        <v>958</v>
      </c>
      <c r="M140" s="27" t="s">
        <v>977</v>
      </c>
      <c r="N140" s="25"/>
      <c r="O140" s="20" t="s">
        <v>3</v>
      </c>
      <c r="P140" s="25" t="s">
        <v>361</v>
      </c>
      <c r="Q140" s="25" t="s">
        <v>362</v>
      </c>
    </row>
    <row r="141" spans="1:17" ht="13.5" customHeight="1">
      <c r="A141" s="19" t="s">
        <v>358</v>
      </c>
      <c r="B141" s="20" t="s">
        <v>1128</v>
      </c>
      <c r="C141" s="21">
        <v>9783642337918</v>
      </c>
      <c r="D141" s="22" t="s">
        <v>357</v>
      </c>
      <c r="E141" s="23" t="str">
        <f>HYPERLINK("http://www.springer.com/gp/book/9783642337918","Green Manufacturing Processes and Systems")</f>
        <v>Green Manufacturing Processes and Systems</v>
      </c>
      <c r="F141" s="24">
        <v>2013</v>
      </c>
      <c r="G141" s="25" t="s">
        <v>957</v>
      </c>
      <c r="H141" s="70">
        <v>132.81</v>
      </c>
      <c r="I141" s="26">
        <v>20</v>
      </c>
      <c r="J141" s="68">
        <v>106.25</v>
      </c>
      <c r="K141" s="84">
        <v>114.99</v>
      </c>
      <c r="L141" s="85" t="s">
        <v>958</v>
      </c>
      <c r="M141" s="27" t="s">
        <v>977</v>
      </c>
      <c r="N141" s="25"/>
      <c r="O141" s="20" t="s">
        <v>3</v>
      </c>
      <c r="P141" s="25"/>
      <c r="Q141" s="25" t="s">
        <v>359</v>
      </c>
    </row>
    <row r="142" spans="1:17" ht="13.5" customHeight="1">
      <c r="A142" s="28" t="s">
        <v>368</v>
      </c>
      <c r="B142" s="20" t="s">
        <v>1263</v>
      </c>
      <c r="C142" s="29">
        <v>9783540652878</v>
      </c>
      <c r="D142" s="30" t="s">
        <v>1029</v>
      </c>
      <c r="E142" s="31" t="s">
        <v>1030</v>
      </c>
      <c r="F142" s="32">
        <v>1999</v>
      </c>
      <c r="G142" s="33" t="s">
        <v>957</v>
      </c>
      <c r="H142" s="71">
        <v>29.56</v>
      </c>
      <c r="I142" s="26">
        <v>30</v>
      </c>
      <c r="J142" s="68">
        <v>20.69</v>
      </c>
      <c r="K142" s="86">
        <v>25</v>
      </c>
      <c r="L142" s="87" t="s">
        <v>958</v>
      </c>
      <c r="M142" s="27" t="s">
        <v>977</v>
      </c>
      <c r="N142" s="29"/>
      <c r="O142" s="20" t="s">
        <v>3</v>
      </c>
      <c r="P142" s="27"/>
      <c r="Q142" s="27"/>
    </row>
    <row r="143" spans="1:17" ht="13.5" customHeight="1">
      <c r="A143" s="19" t="s">
        <v>368</v>
      </c>
      <c r="B143" s="20" t="s">
        <v>1263</v>
      </c>
      <c r="C143" s="21">
        <v>9781402086632</v>
      </c>
      <c r="D143" s="22" t="s">
        <v>459</v>
      </c>
      <c r="E143" s="23" t="str">
        <f>HYPERLINK("http://www.springer.com/gp/book/9781402086632","Flight Physics")</f>
        <v>Flight Physics</v>
      </c>
      <c r="F143" s="24">
        <v>2009</v>
      </c>
      <c r="G143" s="25" t="s">
        <v>957</v>
      </c>
      <c r="H143" s="70">
        <v>70.89</v>
      </c>
      <c r="I143" s="26">
        <v>25</v>
      </c>
      <c r="J143" s="68">
        <v>53.17</v>
      </c>
      <c r="K143" s="84">
        <v>59.95</v>
      </c>
      <c r="L143" s="85" t="s">
        <v>958</v>
      </c>
      <c r="M143" s="27" t="s">
        <v>977</v>
      </c>
      <c r="N143" s="25"/>
      <c r="O143" s="20" t="s">
        <v>22</v>
      </c>
      <c r="P143" s="25" t="s">
        <v>460</v>
      </c>
      <c r="Q143" s="25"/>
    </row>
    <row r="144" spans="1:17" ht="13.5" customHeight="1">
      <c r="A144" s="19" t="s">
        <v>368</v>
      </c>
      <c r="B144" s="20" t="s">
        <v>1263</v>
      </c>
      <c r="C144" s="21">
        <v>9781402086731</v>
      </c>
      <c r="D144" s="22" t="s">
        <v>397</v>
      </c>
      <c r="E144" s="23" t="str">
        <f>HYPERLINK("http://www.springer.com/gp/book/9781402086731","The Automotive Chassis")</f>
        <v>The Automotive Chassis</v>
      </c>
      <c r="F144" s="24">
        <v>2009</v>
      </c>
      <c r="G144" s="25" t="s">
        <v>957</v>
      </c>
      <c r="H144" s="70">
        <v>82.72</v>
      </c>
      <c r="I144" s="26">
        <v>25</v>
      </c>
      <c r="J144" s="68">
        <v>62.04</v>
      </c>
      <c r="K144" s="84">
        <v>69.95</v>
      </c>
      <c r="L144" s="85" t="s">
        <v>958</v>
      </c>
      <c r="M144" s="27" t="s">
        <v>977</v>
      </c>
      <c r="N144" s="25"/>
      <c r="O144" s="20" t="s">
        <v>22</v>
      </c>
      <c r="P144" s="25" t="s">
        <v>398</v>
      </c>
      <c r="Q144" s="25" t="s">
        <v>399</v>
      </c>
    </row>
    <row r="145" spans="1:17" ht="13.5" customHeight="1">
      <c r="A145" s="19" t="s">
        <v>368</v>
      </c>
      <c r="B145" s="20" t="s">
        <v>1263</v>
      </c>
      <c r="C145" s="21">
        <v>9781402086748</v>
      </c>
      <c r="D145" s="22" t="s">
        <v>397</v>
      </c>
      <c r="E145" s="23" t="str">
        <f>HYPERLINK("http://www.springer.com/gp/book/9781402086748","The Automotive Chassis")</f>
        <v>The Automotive Chassis</v>
      </c>
      <c r="F145" s="24">
        <v>2009</v>
      </c>
      <c r="G145" s="25" t="s">
        <v>957</v>
      </c>
      <c r="H145" s="70">
        <v>82.72</v>
      </c>
      <c r="I145" s="26">
        <v>25</v>
      </c>
      <c r="J145" s="68">
        <v>62.04</v>
      </c>
      <c r="K145" s="84">
        <v>69.95</v>
      </c>
      <c r="L145" s="85" t="s">
        <v>958</v>
      </c>
      <c r="M145" s="27" t="s">
        <v>977</v>
      </c>
      <c r="N145" s="25"/>
      <c r="O145" s="20" t="s">
        <v>22</v>
      </c>
      <c r="P145" s="25" t="s">
        <v>400</v>
      </c>
      <c r="Q145" s="25" t="s">
        <v>399</v>
      </c>
    </row>
    <row r="146" spans="1:17" ht="13.5" customHeight="1">
      <c r="A146" s="19" t="s">
        <v>368</v>
      </c>
      <c r="B146" s="20" t="s">
        <v>1263</v>
      </c>
      <c r="C146" s="21">
        <v>9783211766651</v>
      </c>
      <c r="D146" s="22" t="s">
        <v>447</v>
      </c>
      <c r="E146" s="23" t="str">
        <f>HYPERLINK("http://www.springer.com/gp/book/9783211766651","Dynamical Analysis of Vehicle Systems")</f>
        <v>Dynamical Analysis of Vehicle Systems</v>
      </c>
      <c r="F146" s="24">
        <v>2009</v>
      </c>
      <c r="G146" s="25" t="s">
        <v>957</v>
      </c>
      <c r="H146" s="70">
        <v>173.24</v>
      </c>
      <c r="I146" s="26">
        <v>25</v>
      </c>
      <c r="J146" s="68">
        <v>129.93</v>
      </c>
      <c r="K146" s="84">
        <v>149.99</v>
      </c>
      <c r="L146" s="85" t="s">
        <v>958</v>
      </c>
      <c r="M146" s="27" t="s">
        <v>977</v>
      </c>
      <c r="N146" s="25"/>
      <c r="O146" s="20" t="s">
        <v>3</v>
      </c>
      <c r="P146" s="25" t="s">
        <v>448</v>
      </c>
      <c r="Q146" s="25" t="s">
        <v>449</v>
      </c>
    </row>
    <row r="147" spans="1:17" ht="13.5" customHeight="1">
      <c r="A147" s="19" t="s">
        <v>368</v>
      </c>
      <c r="B147" s="20" t="s">
        <v>1263</v>
      </c>
      <c r="C147" s="21">
        <v>9783642113444</v>
      </c>
      <c r="D147" s="22" t="s">
        <v>401</v>
      </c>
      <c r="E147" s="23" t="str">
        <f>HYPERLINK("http://www.springer.com/gp/book/9783642113444","Flexible Ridesharing")</f>
        <v>Flexible Ridesharing</v>
      </c>
      <c r="F147" s="24">
        <v>2013</v>
      </c>
      <c r="G147" s="25" t="s">
        <v>957</v>
      </c>
      <c r="H147" s="70">
        <v>132.81</v>
      </c>
      <c r="I147" s="26">
        <v>20</v>
      </c>
      <c r="J147" s="68">
        <v>106.25</v>
      </c>
      <c r="K147" s="84">
        <v>114.99</v>
      </c>
      <c r="L147" s="85" t="s">
        <v>958</v>
      </c>
      <c r="M147" s="27" t="s">
        <v>977</v>
      </c>
      <c r="N147" s="25"/>
      <c r="O147" s="20" t="s">
        <v>3</v>
      </c>
      <c r="P147" s="25" t="s">
        <v>402</v>
      </c>
      <c r="Q147" s="25"/>
    </row>
    <row r="148" spans="1:17" ht="13.5" customHeight="1">
      <c r="A148" s="19" t="s">
        <v>368</v>
      </c>
      <c r="B148" s="20" t="s">
        <v>1255</v>
      </c>
      <c r="C148" s="21">
        <v>9783540754084</v>
      </c>
      <c r="D148" s="22" t="s">
        <v>369</v>
      </c>
      <c r="E148" s="23" t="str">
        <f>HYPERLINK("http://www.springer.com/gp/book/9783540754084","Bioengineering in Cell and Tissue Research")</f>
        <v>Bioengineering in Cell and Tissue Research</v>
      </c>
      <c r="F148" s="24">
        <v>2008</v>
      </c>
      <c r="G148" s="25" t="s">
        <v>957</v>
      </c>
      <c r="H148" s="70">
        <v>138.59</v>
      </c>
      <c r="I148" s="26">
        <v>25</v>
      </c>
      <c r="J148" s="68">
        <v>103.94</v>
      </c>
      <c r="K148" s="84">
        <v>119.99</v>
      </c>
      <c r="L148" s="85" t="s">
        <v>958</v>
      </c>
      <c r="M148" s="27" t="s">
        <v>977</v>
      </c>
      <c r="N148" s="25"/>
      <c r="O148" s="20" t="s">
        <v>3</v>
      </c>
      <c r="P148" s="25"/>
      <c r="Q148" s="25"/>
    </row>
    <row r="149" spans="1:17" ht="13.5" customHeight="1">
      <c r="A149" s="19" t="s">
        <v>368</v>
      </c>
      <c r="B149" s="20" t="s">
        <v>1255</v>
      </c>
      <c r="C149" s="21">
        <v>9783211892961</v>
      </c>
      <c r="D149" s="22" t="s">
        <v>429</v>
      </c>
      <c r="E149" s="23" t="str">
        <f>HYPERLINK("http://www.springer.com/gp/book/9783211892961","Sport Aerodynamics")</f>
        <v>Sport Aerodynamics</v>
      </c>
      <c r="F149" s="24">
        <v>2008</v>
      </c>
      <c r="G149" s="25" t="s">
        <v>957</v>
      </c>
      <c r="H149" s="70">
        <v>172.1</v>
      </c>
      <c r="I149" s="26">
        <v>25</v>
      </c>
      <c r="J149" s="68">
        <v>129.08</v>
      </c>
      <c r="K149" s="84">
        <v>149</v>
      </c>
      <c r="L149" s="85" t="s">
        <v>958</v>
      </c>
      <c r="M149" s="27" t="s">
        <v>977</v>
      </c>
      <c r="N149" s="25"/>
      <c r="O149" s="20" t="s">
        <v>430</v>
      </c>
      <c r="P149" s="25"/>
      <c r="Q149" s="25" t="s">
        <v>431</v>
      </c>
    </row>
    <row r="150" spans="1:17" ht="13.5" customHeight="1">
      <c r="A150" s="19" t="s">
        <v>368</v>
      </c>
      <c r="B150" s="20" t="s">
        <v>1255</v>
      </c>
      <c r="C150" s="21">
        <v>9783642308550</v>
      </c>
      <c r="D150" s="22" t="s">
        <v>442</v>
      </c>
      <c r="E150" s="23" t="str">
        <f>HYPERLINK("http://www.springer.com/gp/book/9783642308550","Mechanical and Chemical Signaling in Angiogenesis")</f>
        <v>Mechanical and Chemical Signaling in Angiogenesis</v>
      </c>
      <c r="F150" s="24">
        <v>2013</v>
      </c>
      <c r="G150" s="25" t="s">
        <v>957</v>
      </c>
      <c r="H150" s="70">
        <v>132.81</v>
      </c>
      <c r="I150" s="26">
        <v>20</v>
      </c>
      <c r="J150" s="68">
        <v>106.25</v>
      </c>
      <c r="K150" s="84">
        <v>114.99</v>
      </c>
      <c r="L150" s="85" t="s">
        <v>958</v>
      </c>
      <c r="M150" s="27" t="s">
        <v>977</v>
      </c>
      <c r="N150" s="25"/>
      <c r="O150" s="20" t="s">
        <v>3</v>
      </c>
      <c r="P150" s="25"/>
      <c r="Q150" s="25" t="s">
        <v>443</v>
      </c>
    </row>
    <row r="151" spans="1:17" ht="13.5" customHeight="1">
      <c r="A151" s="19" t="s">
        <v>368</v>
      </c>
      <c r="B151" s="20" t="s">
        <v>1224</v>
      </c>
      <c r="C151" s="21">
        <v>9780387297583</v>
      </c>
      <c r="D151" s="22" t="s">
        <v>473</v>
      </c>
      <c r="E151" s="23" t="str">
        <f>HYPERLINK("http://www.springer.com/gp/book/9780387297583","CMOS Current-Mode Circuits for Data Communications")</f>
        <v>CMOS Current-Mode Circuits for Data Communications</v>
      </c>
      <c r="F151" s="24">
        <v>2007</v>
      </c>
      <c r="G151" s="25" t="s">
        <v>957</v>
      </c>
      <c r="H151" s="70">
        <v>150.14</v>
      </c>
      <c r="I151" s="26">
        <v>30</v>
      </c>
      <c r="J151" s="68">
        <v>105.1</v>
      </c>
      <c r="K151" s="84">
        <v>129.99</v>
      </c>
      <c r="L151" s="85" t="s">
        <v>958</v>
      </c>
      <c r="M151" s="27" t="s">
        <v>977</v>
      </c>
      <c r="N151" s="25"/>
      <c r="O151" s="20" t="s">
        <v>28</v>
      </c>
      <c r="P151" s="25"/>
      <c r="Q151" s="25" t="s">
        <v>474</v>
      </c>
    </row>
    <row r="152" spans="1:17" ht="13.5" customHeight="1">
      <c r="A152" s="19" t="s">
        <v>368</v>
      </c>
      <c r="B152" s="20" t="s">
        <v>1224</v>
      </c>
      <c r="C152" s="21">
        <v>9781461431596</v>
      </c>
      <c r="D152" s="22" t="s">
        <v>374</v>
      </c>
      <c r="E152" s="23" t="str">
        <f>HYPERLINK("http://www.springer.com/gp/book/9781461431596","Applications of Organic and Printed Electronics")</f>
        <v>Applications of Organic and Printed Electronics</v>
      </c>
      <c r="F152" s="24">
        <v>2013</v>
      </c>
      <c r="G152" s="25" t="s">
        <v>957</v>
      </c>
      <c r="H152" s="70">
        <v>115.44</v>
      </c>
      <c r="I152" s="26">
        <v>20</v>
      </c>
      <c r="J152" s="68">
        <v>92.35</v>
      </c>
      <c r="K152" s="84">
        <v>99.95</v>
      </c>
      <c r="L152" s="85" t="s">
        <v>958</v>
      </c>
      <c r="M152" s="27" t="s">
        <v>977</v>
      </c>
      <c r="N152" s="25"/>
      <c r="O152" s="20" t="s">
        <v>10</v>
      </c>
      <c r="P152" s="25" t="s">
        <v>375</v>
      </c>
      <c r="Q152" s="25" t="s">
        <v>376</v>
      </c>
    </row>
    <row r="153" spans="1:17" s="6" customFormat="1" ht="13.5" customHeight="1">
      <c r="A153" s="19" t="s">
        <v>368</v>
      </c>
      <c r="B153" s="20" t="s">
        <v>1221</v>
      </c>
      <c r="C153" s="29">
        <v>9783540004295</v>
      </c>
      <c r="D153" s="30" t="s">
        <v>1019</v>
      </c>
      <c r="E153" s="31" t="s">
        <v>1020</v>
      </c>
      <c r="F153" s="32">
        <v>2008</v>
      </c>
      <c r="G153" s="33" t="s">
        <v>957</v>
      </c>
      <c r="H153" s="71">
        <v>247.16</v>
      </c>
      <c r="I153" s="26">
        <v>25</v>
      </c>
      <c r="J153" s="68">
        <v>185.37</v>
      </c>
      <c r="K153" s="86">
        <v>213.99</v>
      </c>
      <c r="L153" s="87" t="s">
        <v>958</v>
      </c>
      <c r="M153" s="27" t="s">
        <v>1063</v>
      </c>
      <c r="N153" s="29" t="s">
        <v>1061</v>
      </c>
      <c r="O153" s="20" t="s">
        <v>3</v>
      </c>
      <c r="P153" s="27"/>
      <c r="Q153" s="27"/>
    </row>
    <row r="154" spans="1:17" ht="13.5" customHeight="1">
      <c r="A154" s="19" t="s">
        <v>368</v>
      </c>
      <c r="B154" s="20" t="s">
        <v>1221</v>
      </c>
      <c r="C154" s="21">
        <v>9781447145394</v>
      </c>
      <c r="D154" s="22" t="s">
        <v>477</v>
      </c>
      <c r="E154" s="23" t="str">
        <f>HYPERLINK("http://www.springer.com/gp/book/9781447145394","Recycled Aggregate in Concrete")</f>
        <v>Recycled Aggregate in Concrete</v>
      </c>
      <c r="F154" s="24">
        <v>2013</v>
      </c>
      <c r="G154" s="25" t="s">
        <v>957</v>
      </c>
      <c r="H154" s="70">
        <v>173.24</v>
      </c>
      <c r="I154" s="26">
        <v>20</v>
      </c>
      <c r="J154" s="68">
        <v>138.59</v>
      </c>
      <c r="K154" s="84">
        <v>149.99</v>
      </c>
      <c r="L154" s="85" t="s">
        <v>958</v>
      </c>
      <c r="M154" s="27" t="s">
        <v>977</v>
      </c>
      <c r="N154" s="25"/>
      <c r="O154" s="20" t="s">
        <v>3</v>
      </c>
      <c r="P154" s="25" t="s">
        <v>478</v>
      </c>
      <c r="Q154" s="25" t="s">
        <v>362</v>
      </c>
    </row>
    <row r="155" spans="1:17" ht="13.5" customHeight="1">
      <c r="A155" s="19" t="s">
        <v>368</v>
      </c>
      <c r="B155" s="20" t="s">
        <v>1222</v>
      </c>
      <c r="C155" s="21">
        <v>9780387261416</v>
      </c>
      <c r="D155" s="22" t="s">
        <v>394</v>
      </c>
      <c r="E155" s="23" t="str">
        <f>HYPERLINK("http://www.springer.com/gp/book/9780387261416","Optical Switching")</f>
        <v>Optical Switching</v>
      </c>
      <c r="F155" s="24">
        <v>2006</v>
      </c>
      <c r="G155" s="25" t="s">
        <v>957</v>
      </c>
      <c r="H155" s="70">
        <v>127.04</v>
      </c>
      <c r="I155" s="26">
        <v>30</v>
      </c>
      <c r="J155" s="68">
        <v>88.93</v>
      </c>
      <c r="K155" s="84">
        <v>109.99</v>
      </c>
      <c r="L155" s="85" t="s">
        <v>958</v>
      </c>
      <c r="M155" s="27" t="s">
        <v>977</v>
      </c>
      <c r="N155" s="25"/>
      <c r="O155" s="20" t="s">
        <v>10</v>
      </c>
      <c r="P155" s="25"/>
      <c r="Q155" s="25"/>
    </row>
    <row r="156" spans="1:17" ht="13.5" customHeight="1">
      <c r="A156" s="19" t="s">
        <v>368</v>
      </c>
      <c r="B156" s="20" t="s">
        <v>1222</v>
      </c>
      <c r="C156" s="21">
        <v>9780387745343</v>
      </c>
      <c r="D156" s="22" t="s">
        <v>389</v>
      </c>
      <c r="E156" s="23" t="str">
        <f>HYPERLINK("http://www.springer.com/gp/book/9780387745343","Applied Signal Processing")</f>
        <v>Applied Signal Processing</v>
      </c>
      <c r="F156" s="24">
        <v>2009</v>
      </c>
      <c r="G156" s="25" t="s">
        <v>957</v>
      </c>
      <c r="H156" s="70">
        <v>74.44</v>
      </c>
      <c r="I156" s="26">
        <v>25</v>
      </c>
      <c r="J156" s="68">
        <v>55.83</v>
      </c>
      <c r="K156" s="84">
        <v>62.95</v>
      </c>
      <c r="L156" s="85" t="s">
        <v>958</v>
      </c>
      <c r="M156" s="27" t="s">
        <v>995</v>
      </c>
      <c r="N156" s="25"/>
      <c r="O156" s="20" t="s">
        <v>22</v>
      </c>
      <c r="P156" s="25" t="s">
        <v>390</v>
      </c>
      <c r="Q156" s="25"/>
    </row>
    <row r="157" spans="1:17" ht="13.5" customHeight="1">
      <c r="A157" s="19" t="s">
        <v>368</v>
      </c>
      <c r="B157" s="20" t="s">
        <v>1222</v>
      </c>
      <c r="C157" s="21">
        <v>9780817644949</v>
      </c>
      <c r="D157" s="22" t="s">
        <v>422</v>
      </c>
      <c r="E157" s="23" t="str">
        <f>HYPERLINK("http://www.springer.com/gp/book/9780817644949","Estimation and Control over Communication Networks")</f>
        <v>Estimation and Control over Communication Networks</v>
      </c>
      <c r="F157" s="24">
        <v>2009</v>
      </c>
      <c r="G157" s="25" t="s">
        <v>957</v>
      </c>
      <c r="H157" s="70">
        <v>179.01</v>
      </c>
      <c r="I157" s="26">
        <v>25</v>
      </c>
      <c r="J157" s="68">
        <v>134.26</v>
      </c>
      <c r="K157" s="84">
        <v>154.99</v>
      </c>
      <c r="L157" s="85" t="s">
        <v>958</v>
      </c>
      <c r="M157" s="27" t="s">
        <v>977</v>
      </c>
      <c r="N157" s="25"/>
      <c r="O157" s="20" t="s">
        <v>3</v>
      </c>
      <c r="P157" s="25"/>
      <c r="Q157" s="25" t="s">
        <v>423</v>
      </c>
    </row>
    <row r="158" spans="1:17" ht="13.5" customHeight="1">
      <c r="A158" s="19" t="s">
        <v>368</v>
      </c>
      <c r="B158" s="20" t="s">
        <v>1222</v>
      </c>
      <c r="C158" s="21">
        <v>9781447145516</v>
      </c>
      <c r="D158" s="22" t="s">
        <v>410</v>
      </c>
      <c r="E158" s="23" t="str">
        <f>HYPERLINK("http://www.springer.com/gp/book/9781447145516","Internet Naming and Discovery")</f>
        <v>Internet Naming and Discovery</v>
      </c>
      <c r="F158" s="24">
        <v>2013</v>
      </c>
      <c r="G158" s="25" t="s">
        <v>957</v>
      </c>
      <c r="H158" s="70">
        <v>127.04</v>
      </c>
      <c r="I158" s="26">
        <v>20</v>
      </c>
      <c r="J158" s="68">
        <v>101.63</v>
      </c>
      <c r="K158" s="84">
        <v>109.99</v>
      </c>
      <c r="L158" s="85" t="s">
        <v>958</v>
      </c>
      <c r="M158" s="27" t="s">
        <v>977</v>
      </c>
      <c r="N158" s="25"/>
      <c r="O158" s="20" t="s">
        <v>3</v>
      </c>
      <c r="P158" s="25" t="s">
        <v>411</v>
      </c>
      <c r="Q158" s="25" t="s">
        <v>412</v>
      </c>
    </row>
    <row r="159" spans="1:17" ht="13.5" customHeight="1">
      <c r="A159" s="19" t="s">
        <v>368</v>
      </c>
      <c r="B159" s="20" t="s">
        <v>1218</v>
      </c>
      <c r="C159" s="21">
        <v>9783540763420</v>
      </c>
      <c r="D159" s="22" t="s">
        <v>378</v>
      </c>
      <c r="E159" s="23" t="str">
        <f>HYPERLINK("http://www.springer.com/gp/book/9783540763420","Finite Element Methods for Engineering Sciences")</f>
        <v>Finite Element Methods for Engineering Sciences</v>
      </c>
      <c r="F159" s="24">
        <v>2008</v>
      </c>
      <c r="G159" s="25" t="s">
        <v>957</v>
      </c>
      <c r="H159" s="70">
        <v>70.89</v>
      </c>
      <c r="I159" s="26">
        <v>25</v>
      </c>
      <c r="J159" s="68">
        <v>53.17</v>
      </c>
      <c r="K159" s="84">
        <v>59.95</v>
      </c>
      <c r="L159" s="85" t="s">
        <v>958</v>
      </c>
      <c r="M159" s="27" t="s">
        <v>977</v>
      </c>
      <c r="N159" s="25"/>
      <c r="O159" s="20" t="s">
        <v>22</v>
      </c>
      <c r="P159" s="25" t="s">
        <v>379</v>
      </c>
      <c r="Q159" s="25"/>
    </row>
    <row r="160" spans="1:17" ht="13.5" customHeight="1">
      <c r="A160" s="19" t="s">
        <v>368</v>
      </c>
      <c r="B160" s="20" t="s">
        <v>1229</v>
      </c>
      <c r="C160" s="21">
        <v>9780387097824</v>
      </c>
      <c r="D160" s="22" t="s">
        <v>440</v>
      </c>
      <c r="E160" s="23" t="str">
        <f>HYPERLINK("http://www.springer.com/gp/book/9780387097824","Nanomaterials")</f>
        <v>Nanomaterials</v>
      </c>
      <c r="F160" s="24">
        <v>2009</v>
      </c>
      <c r="G160" s="25" t="s">
        <v>957</v>
      </c>
      <c r="H160" s="70">
        <v>150.09</v>
      </c>
      <c r="I160" s="26">
        <v>25</v>
      </c>
      <c r="J160" s="68">
        <v>112.57</v>
      </c>
      <c r="K160" s="84">
        <v>129.95</v>
      </c>
      <c r="L160" s="85" t="s">
        <v>958</v>
      </c>
      <c r="M160" s="27" t="s">
        <v>977</v>
      </c>
      <c r="N160" s="25"/>
      <c r="O160" s="20" t="s">
        <v>22</v>
      </c>
      <c r="P160" s="25" t="s">
        <v>441</v>
      </c>
      <c r="Q160" s="25"/>
    </row>
    <row r="161" spans="1:17" ht="13.5" customHeight="1">
      <c r="A161" s="19" t="s">
        <v>368</v>
      </c>
      <c r="B161" s="20" t="s">
        <v>1257</v>
      </c>
      <c r="C161" s="21">
        <v>9783540253785</v>
      </c>
      <c r="D161" s="22" t="s">
        <v>408</v>
      </c>
      <c r="E161" s="23" t="str">
        <f>HYPERLINK("http://www.springer.com/gp/book/9783540253785","Interfacing with C++")</f>
        <v>Interfacing with C++</v>
      </c>
      <c r="F161" s="24">
        <v>2006</v>
      </c>
      <c r="G161" s="25" t="s">
        <v>957</v>
      </c>
      <c r="H161" s="70">
        <v>121.22</v>
      </c>
      <c r="I161" s="26">
        <v>30</v>
      </c>
      <c r="J161" s="68">
        <v>84.85</v>
      </c>
      <c r="K161" s="84">
        <v>104.95</v>
      </c>
      <c r="L161" s="85" t="s">
        <v>958</v>
      </c>
      <c r="M161" s="27" t="s">
        <v>977</v>
      </c>
      <c r="N161" s="25"/>
      <c r="O161" s="20" t="s">
        <v>183</v>
      </c>
      <c r="P161" s="25" t="s">
        <v>409</v>
      </c>
      <c r="Q161" s="25"/>
    </row>
    <row r="162" spans="1:17" ht="13.5" customHeight="1">
      <c r="A162" s="19" t="s">
        <v>368</v>
      </c>
      <c r="B162" s="20" t="s">
        <v>1257</v>
      </c>
      <c r="C162" s="21">
        <v>9780387279749</v>
      </c>
      <c r="D162" s="22" t="s">
        <v>456</v>
      </c>
      <c r="E162" s="23" t="str">
        <f>HYPERLINK("http://www.springer.com/gp/book/9780387279749","Micro- and Opto-Electronic Materials and Structures: Physics, Mechanics, Design, Reliability, Packaging")</f>
        <v>Micro- and Opto-Electronic Materials and Structures: Physics, Mechanics, Design, Reliability, Packaging</v>
      </c>
      <c r="F162" s="24">
        <v>2007</v>
      </c>
      <c r="G162" s="25" t="s">
        <v>957</v>
      </c>
      <c r="H162" s="70">
        <v>753.9</v>
      </c>
      <c r="I162" s="26">
        <v>30</v>
      </c>
      <c r="J162" s="68">
        <v>527.73</v>
      </c>
      <c r="K162" s="84">
        <v>659</v>
      </c>
      <c r="L162" s="85" t="s">
        <v>958</v>
      </c>
      <c r="M162" s="27" t="s">
        <v>977</v>
      </c>
      <c r="N162" s="25"/>
      <c r="O162" s="20" t="s">
        <v>8</v>
      </c>
      <c r="P162" s="25" t="s">
        <v>457</v>
      </c>
      <c r="Q162" s="25"/>
    </row>
    <row r="163" spans="1:17" ht="13.5" customHeight="1">
      <c r="A163" s="19" t="s">
        <v>368</v>
      </c>
      <c r="B163" s="20" t="s">
        <v>1228</v>
      </c>
      <c r="C163" s="21">
        <v>9781447148227</v>
      </c>
      <c r="D163" s="22" t="s">
        <v>380</v>
      </c>
      <c r="E163" s="23" t="str">
        <f>HYPERLINK("http://www.springer.com/gp/book/9781447148227","Organic Solar Cells")</f>
        <v>Organic Solar Cells</v>
      </c>
      <c r="F163" s="24">
        <v>2013</v>
      </c>
      <c r="G163" s="25" t="s">
        <v>957</v>
      </c>
      <c r="H163" s="70">
        <v>132.81</v>
      </c>
      <c r="I163" s="26">
        <v>20</v>
      </c>
      <c r="J163" s="68">
        <v>106.25</v>
      </c>
      <c r="K163" s="84">
        <v>114.99</v>
      </c>
      <c r="L163" s="85" t="s">
        <v>958</v>
      </c>
      <c r="M163" s="27" t="s">
        <v>977</v>
      </c>
      <c r="N163" s="25"/>
      <c r="O163" s="20" t="s">
        <v>3</v>
      </c>
      <c r="P163" s="25" t="s">
        <v>381</v>
      </c>
      <c r="Q163" s="25" t="s">
        <v>362</v>
      </c>
    </row>
    <row r="164" spans="1:17" ht="13.5" customHeight="1">
      <c r="A164" s="19" t="s">
        <v>368</v>
      </c>
      <c r="B164" s="20" t="s">
        <v>1217</v>
      </c>
      <c r="C164" s="21">
        <v>9780387094953</v>
      </c>
      <c r="D164" s="22" t="s">
        <v>391</v>
      </c>
      <c r="E164" s="23" t="str">
        <f>HYPERLINK("http://www.springer.com/gp/book/9780387094953","Multiscale Finite Element Methods")</f>
        <v>Multiscale Finite Element Methods</v>
      </c>
      <c r="F164" s="24">
        <v>2009</v>
      </c>
      <c r="G164" s="25" t="s">
        <v>957</v>
      </c>
      <c r="H164" s="70">
        <v>47.29</v>
      </c>
      <c r="I164" s="26">
        <v>25</v>
      </c>
      <c r="J164" s="68">
        <v>35.47</v>
      </c>
      <c r="K164" s="84">
        <v>39.99</v>
      </c>
      <c r="L164" s="85" t="s">
        <v>958</v>
      </c>
      <c r="M164" s="27" t="s">
        <v>995</v>
      </c>
      <c r="N164" s="25"/>
      <c r="O164" s="20" t="s">
        <v>22</v>
      </c>
      <c r="P164" s="25" t="s">
        <v>392</v>
      </c>
      <c r="Q164" s="25" t="s">
        <v>393</v>
      </c>
    </row>
    <row r="165" spans="1:17" ht="13.5" customHeight="1">
      <c r="A165" s="19" t="s">
        <v>368</v>
      </c>
      <c r="B165" s="20" t="s">
        <v>1227</v>
      </c>
      <c r="C165" s="21">
        <v>9789400752818</v>
      </c>
      <c r="D165" s="22" t="s">
        <v>382</v>
      </c>
      <c r="E165" s="23" t="str">
        <f>HYPERLINK("http://www.springer.com/gp/book/9789400752818","Engineering, Development and Philosophy")</f>
        <v>Engineering, Development and Philosophy</v>
      </c>
      <c r="F165" s="24">
        <v>2012</v>
      </c>
      <c r="G165" s="25" t="s">
        <v>957</v>
      </c>
      <c r="H165" s="70">
        <v>173.24</v>
      </c>
      <c r="I165" s="26">
        <v>20</v>
      </c>
      <c r="J165" s="68">
        <v>138.59</v>
      </c>
      <c r="K165" s="84">
        <v>149.99</v>
      </c>
      <c r="L165" s="85" t="s">
        <v>958</v>
      </c>
      <c r="M165" s="27" t="s">
        <v>977</v>
      </c>
      <c r="N165" s="25"/>
      <c r="O165" s="20" t="s">
        <v>10</v>
      </c>
      <c r="P165" s="25" t="s">
        <v>383</v>
      </c>
      <c r="Q165" s="25" t="s">
        <v>384</v>
      </c>
    </row>
    <row r="166" spans="1:17" ht="13.5" customHeight="1">
      <c r="A166" s="19" t="s">
        <v>368</v>
      </c>
      <c r="B166" s="20" t="s">
        <v>1227</v>
      </c>
      <c r="C166" s="21">
        <v>9788847023352</v>
      </c>
      <c r="D166" s="22" t="s">
        <v>426</v>
      </c>
      <c r="E166" s="23" t="str">
        <f>HYPERLINK("http://www.springer.com/gp/book/9788847023352","Fatigue and Corrosion in Metals")</f>
        <v>Fatigue and Corrosion in Metals</v>
      </c>
      <c r="F166" s="24">
        <v>2013</v>
      </c>
      <c r="G166" s="25" t="s">
        <v>957</v>
      </c>
      <c r="H166" s="70">
        <v>109.71</v>
      </c>
      <c r="I166" s="26">
        <v>20</v>
      </c>
      <c r="J166" s="68">
        <v>87.77</v>
      </c>
      <c r="K166" s="84">
        <v>94.99</v>
      </c>
      <c r="L166" s="85" t="s">
        <v>958</v>
      </c>
      <c r="M166" s="27" t="s">
        <v>977</v>
      </c>
      <c r="N166" s="25"/>
      <c r="O166" s="20" t="s">
        <v>22</v>
      </c>
      <c r="P166" s="25"/>
      <c r="Q166" s="25"/>
    </row>
    <row r="167" spans="1:17" ht="13.5" customHeight="1">
      <c r="A167" s="19" t="s">
        <v>368</v>
      </c>
      <c r="B167" s="20" t="s">
        <v>1264</v>
      </c>
      <c r="C167" s="21">
        <v>9780817648459</v>
      </c>
      <c r="D167" s="22" t="s">
        <v>462</v>
      </c>
      <c r="E167" s="23" t="str">
        <f>HYPERLINK("http://www.springer.com/gp/book/9780817648459","An Introduction to the Mechanics of Fluids")</f>
        <v>An Introduction to the Mechanics of Fluids</v>
      </c>
      <c r="F167" s="24">
        <v>2000</v>
      </c>
      <c r="G167" s="25" t="s">
        <v>957</v>
      </c>
      <c r="H167" s="70">
        <v>47.29</v>
      </c>
      <c r="I167" s="26">
        <v>30</v>
      </c>
      <c r="J167" s="68">
        <v>33.1</v>
      </c>
      <c r="K167" s="84">
        <v>39.99</v>
      </c>
      <c r="L167" s="85" t="s">
        <v>958</v>
      </c>
      <c r="M167" s="27" t="s">
        <v>995</v>
      </c>
      <c r="N167" s="25"/>
      <c r="O167" s="20" t="s">
        <v>22</v>
      </c>
      <c r="P167" s="25"/>
      <c r="Q167" s="25" t="s">
        <v>463</v>
      </c>
    </row>
    <row r="168" spans="1:17" ht="13.5" customHeight="1">
      <c r="A168" s="19" t="s">
        <v>368</v>
      </c>
      <c r="B168" s="20" t="s">
        <v>1264</v>
      </c>
      <c r="C168" s="21">
        <v>9783540251415</v>
      </c>
      <c r="D168" s="22" t="s">
        <v>461</v>
      </c>
      <c r="E168" s="23" t="str">
        <f>HYPERLINK("http://www.springer.com/gp/book/9783540251415","Springer Handbook of Experimental Fluid Mechanics")</f>
        <v>Springer Handbook of Experimental Fluid Mechanics</v>
      </c>
      <c r="F168" s="24">
        <v>2007</v>
      </c>
      <c r="G168" s="25" t="s">
        <v>957</v>
      </c>
      <c r="H168" s="70">
        <v>322.25</v>
      </c>
      <c r="I168" s="26">
        <v>30</v>
      </c>
      <c r="J168" s="68">
        <v>225.58</v>
      </c>
      <c r="K168" s="84">
        <v>279</v>
      </c>
      <c r="L168" s="85" t="s">
        <v>958</v>
      </c>
      <c r="M168" s="27" t="s">
        <v>977</v>
      </c>
      <c r="N168" s="25"/>
      <c r="O168" s="20" t="s">
        <v>8</v>
      </c>
      <c r="P168" s="25"/>
      <c r="Q168" s="25"/>
    </row>
    <row r="169" spans="1:17" ht="13.5" customHeight="1">
      <c r="A169" s="19" t="s">
        <v>368</v>
      </c>
      <c r="B169" s="20" t="s">
        <v>1264</v>
      </c>
      <c r="C169" s="21">
        <v>9783540721529</v>
      </c>
      <c r="D169" s="22" t="s">
        <v>458</v>
      </c>
      <c r="E169" s="23" t="str">
        <f>HYPERLINK("http://www.springer.com/gp/book/9783540721529","Optimization and Computational Fluid Dynamics")</f>
        <v>Optimization and Computational Fluid Dynamics</v>
      </c>
      <c r="F169" s="24">
        <v>2008</v>
      </c>
      <c r="G169" s="25" t="s">
        <v>957</v>
      </c>
      <c r="H169" s="70">
        <v>138.59</v>
      </c>
      <c r="I169" s="26">
        <v>25</v>
      </c>
      <c r="J169" s="68">
        <v>103.94</v>
      </c>
      <c r="K169" s="84">
        <v>119.99</v>
      </c>
      <c r="L169" s="85" t="s">
        <v>958</v>
      </c>
      <c r="M169" s="27" t="s">
        <v>977</v>
      </c>
      <c r="N169" s="25"/>
      <c r="O169" s="20" t="s">
        <v>3</v>
      </c>
      <c r="P169" s="25"/>
      <c r="Q169" s="25"/>
    </row>
    <row r="170" spans="1:17" ht="13.5" customHeight="1">
      <c r="A170" s="19" t="s">
        <v>368</v>
      </c>
      <c r="B170" s="20" t="s">
        <v>1264</v>
      </c>
      <c r="C170" s="21">
        <v>9781402085369</v>
      </c>
      <c r="D170" s="22" t="s">
        <v>403</v>
      </c>
      <c r="E170" s="23" t="str">
        <f>HYPERLINK("http://www.springer.com/gp/book/9781402085369","An Introduction to Fluid Mechanics and Transport Phenomena")</f>
        <v>An Introduction to Fluid Mechanics and Transport Phenomena</v>
      </c>
      <c r="F170" s="24">
        <v>2008</v>
      </c>
      <c r="G170" s="25" t="s">
        <v>957</v>
      </c>
      <c r="H170" s="70">
        <v>150.09</v>
      </c>
      <c r="I170" s="26">
        <v>25</v>
      </c>
      <c r="J170" s="68">
        <v>112.57</v>
      </c>
      <c r="K170" s="84">
        <v>129.95</v>
      </c>
      <c r="L170" s="85" t="s">
        <v>958</v>
      </c>
      <c r="M170" s="27" t="s">
        <v>977</v>
      </c>
      <c r="N170" s="25"/>
      <c r="O170" s="20" t="s">
        <v>22</v>
      </c>
      <c r="P170" s="25"/>
      <c r="Q170" s="25" t="s">
        <v>404</v>
      </c>
    </row>
    <row r="171" spans="1:17" ht="13.5" customHeight="1">
      <c r="A171" s="19" t="s">
        <v>368</v>
      </c>
      <c r="B171" s="20" t="s">
        <v>1264</v>
      </c>
      <c r="C171" s="21">
        <v>9783211993453</v>
      </c>
      <c r="D171" s="22" t="s">
        <v>385</v>
      </c>
      <c r="E171" s="23" t="str">
        <f>HYPERLINK("http://www.springer.com/gp/book/9783211993453","Analysis and Control of Mixing with an Application to Micro and Macro Flow Processes")</f>
        <v>Analysis and Control of Mixing with an Application to Micro and Macro Flow Processes</v>
      </c>
      <c r="F171" s="24">
        <v>2009</v>
      </c>
      <c r="G171" s="25" t="s">
        <v>957</v>
      </c>
      <c r="H171" s="70">
        <v>207.89</v>
      </c>
      <c r="I171" s="26">
        <v>25</v>
      </c>
      <c r="J171" s="68">
        <v>155.92</v>
      </c>
      <c r="K171" s="84">
        <v>179.99</v>
      </c>
      <c r="L171" s="85" t="s">
        <v>958</v>
      </c>
      <c r="M171" s="27" t="s">
        <v>977</v>
      </c>
      <c r="N171" s="25"/>
      <c r="O171" s="20" t="s">
        <v>3</v>
      </c>
      <c r="P171" s="25"/>
      <c r="Q171" s="25" t="s">
        <v>386</v>
      </c>
    </row>
    <row r="172" spans="1:17" ht="13.5" customHeight="1">
      <c r="A172" s="19" t="s">
        <v>368</v>
      </c>
      <c r="B172" s="20" t="s">
        <v>1219</v>
      </c>
      <c r="C172" s="21">
        <v>9783540787587</v>
      </c>
      <c r="D172" s="22" t="s">
        <v>418</v>
      </c>
      <c r="E172" s="23" t="str">
        <f>HYPERLINK("http://www.springer.com/gp/book/9783540787587","Introduction to Physics and Chemistry of Combustion")</f>
        <v>Introduction to Physics and Chemistry of Combustion</v>
      </c>
      <c r="F172" s="24">
        <v>2008</v>
      </c>
      <c r="G172" s="25" t="s">
        <v>957</v>
      </c>
      <c r="H172" s="70">
        <v>115.49</v>
      </c>
      <c r="I172" s="26">
        <v>25</v>
      </c>
      <c r="J172" s="68">
        <v>86.62</v>
      </c>
      <c r="K172" s="84">
        <v>99.99</v>
      </c>
      <c r="L172" s="85" t="s">
        <v>958</v>
      </c>
      <c r="M172" s="27" t="s">
        <v>977</v>
      </c>
      <c r="N172" s="25"/>
      <c r="O172" s="20" t="s">
        <v>3</v>
      </c>
      <c r="P172" s="25" t="s">
        <v>419</v>
      </c>
      <c r="Q172" s="25"/>
    </row>
    <row r="173" spans="1:17" ht="13.5" customHeight="1">
      <c r="A173" s="19" t="s">
        <v>368</v>
      </c>
      <c r="B173" s="20" t="s">
        <v>1219</v>
      </c>
      <c r="C173" s="21">
        <v>9783540777144</v>
      </c>
      <c r="D173" s="22" t="s">
        <v>366</v>
      </c>
      <c r="E173" s="23" t="str">
        <f>HYPERLINK("http://www.springer.com/gp/book/9783540777144","Steam Generators")</f>
        <v>Steam Generators</v>
      </c>
      <c r="F173" s="24">
        <v>2008</v>
      </c>
      <c r="G173" s="25" t="s">
        <v>957</v>
      </c>
      <c r="H173" s="70">
        <v>173.19</v>
      </c>
      <c r="I173" s="26">
        <v>25</v>
      </c>
      <c r="J173" s="68">
        <v>129.89</v>
      </c>
      <c r="K173" s="84">
        <v>149.95</v>
      </c>
      <c r="L173" s="85" t="s">
        <v>958</v>
      </c>
      <c r="M173" s="27" t="s">
        <v>977</v>
      </c>
      <c r="N173" s="25"/>
      <c r="O173" s="20" t="s">
        <v>28</v>
      </c>
      <c r="P173" s="25" t="s">
        <v>367</v>
      </c>
      <c r="Q173" s="25"/>
    </row>
    <row r="174" spans="1:17" ht="13.5" customHeight="1">
      <c r="A174" s="19" t="s">
        <v>368</v>
      </c>
      <c r="B174" s="20" t="s">
        <v>1226</v>
      </c>
      <c r="C174" s="21">
        <v>9783540259923</v>
      </c>
      <c r="D174" s="22" t="s">
        <v>468</v>
      </c>
      <c r="E174" s="23" t="str">
        <f>HYPERLINK("http://www.springer.com/gp/book/9783540259923","Combustion")</f>
        <v>Combustion</v>
      </c>
      <c r="F174" s="24">
        <v>2006</v>
      </c>
      <c r="G174" s="25" t="s">
        <v>957</v>
      </c>
      <c r="H174" s="70">
        <v>88.63</v>
      </c>
      <c r="I174" s="26">
        <v>30</v>
      </c>
      <c r="J174" s="68">
        <v>62.04</v>
      </c>
      <c r="K174" s="84">
        <v>74.95</v>
      </c>
      <c r="L174" s="85" t="s">
        <v>958</v>
      </c>
      <c r="M174" s="27" t="s">
        <v>977</v>
      </c>
      <c r="N174" s="25" t="s">
        <v>1086</v>
      </c>
      <c r="O174" s="20" t="s">
        <v>22</v>
      </c>
      <c r="P174" s="25" t="s">
        <v>469</v>
      </c>
      <c r="Q174" s="25"/>
    </row>
    <row r="175" spans="1:17" ht="13.5" customHeight="1">
      <c r="A175" s="19" t="s">
        <v>368</v>
      </c>
      <c r="B175" s="20" t="s">
        <v>1226</v>
      </c>
      <c r="C175" s="21">
        <v>9783211997673</v>
      </c>
      <c r="D175" s="22" t="s">
        <v>470</v>
      </c>
      <c r="E175" s="23" t="str">
        <f>HYPERLINK("http://www.springer.com/gp/book/9783211997673","Advances of Soft Computing in Engineering")</f>
        <v>Advances of Soft Computing in Engineering</v>
      </c>
      <c r="F175" s="24">
        <v>2010</v>
      </c>
      <c r="G175" s="25" t="s">
        <v>957</v>
      </c>
      <c r="H175" s="70">
        <v>172.1</v>
      </c>
      <c r="I175" s="26">
        <v>25</v>
      </c>
      <c r="J175" s="68">
        <v>129.08</v>
      </c>
      <c r="K175" s="84">
        <v>149</v>
      </c>
      <c r="L175" s="85" t="s">
        <v>958</v>
      </c>
      <c r="M175" s="27" t="s">
        <v>977</v>
      </c>
      <c r="N175" s="25"/>
      <c r="O175" s="20" t="s">
        <v>10</v>
      </c>
      <c r="P175" s="25"/>
      <c r="Q175" s="25" t="s">
        <v>471</v>
      </c>
    </row>
    <row r="176" spans="1:17" ht="13.5" customHeight="1">
      <c r="A176" s="19" t="s">
        <v>368</v>
      </c>
      <c r="B176" s="20" t="s">
        <v>1225</v>
      </c>
      <c r="C176" s="21">
        <v>9781447129141</v>
      </c>
      <c r="D176" s="22" t="s">
        <v>405</v>
      </c>
      <c r="E176" s="23" t="str">
        <f>HYPERLINK("http://www.springer.com/gp/book/9781447129141","Materials for Nuclear Plants")</f>
        <v>Materials for Nuclear Plants</v>
      </c>
      <c r="F176" s="24">
        <v>2013</v>
      </c>
      <c r="G176" s="25" t="s">
        <v>957</v>
      </c>
      <c r="H176" s="70">
        <v>230.99</v>
      </c>
      <c r="I176" s="26">
        <v>20</v>
      </c>
      <c r="J176" s="68">
        <v>184.79</v>
      </c>
      <c r="K176" s="84">
        <v>199.99</v>
      </c>
      <c r="L176" s="85" t="s">
        <v>958</v>
      </c>
      <c r="M176" s="27" t="s">
        <v>977</v>
      </c>
      <c r="N176" s="25"/>
      <c r="O176" s="20" t="s">
        <v>3</v>
      </c>
      <c r="P176" s="25" t="s">
        <v>406</v>
      </c>
      <c r="Q176" s="25"/>
    </row>
    <row r="177" spans="1:17" ht="13.5" customHeight="1">
      <c r="A177" s="19" t="s">
        <v>368</v>
      </c>
      <c r="B177" s="20" t="s">
        <v>1220</v>
      </c>
      <c r="C177" s="21">
        <v>9783540736448</v>
      </c>
      <c r="D177" s="22" t="s">
        <v>428</v>
      </c>
      <c r="E177" s="23" t="str">
        <f>HYPERLINK("http://www.springer.com/gp/book/9783540736448","Blast Cleaning Technology")</f>
        <v>Blast Cleaning Technology</v>
      </c>
      <c r="F177" s="24">
        <v>2008</v>
      </c>
      <c r="G177" s="25" t="s">
        <v>957</v>
      </c>
      <c r="H177" s="70">
        <v>150.14</v>
      </c>
      <c r="I177" s="26">
        <v>25</v>
      </c>
      <c r="J177" s="68">
        <v>112.61</v>
      </c>
      <c r="K177" s="84">
        <v>129.99</v>
      </c>
      <c r="L177" s="85" t="s">
        <v>958</v>
      </c>
      <c r="M177" s="27" t="s">
        <v>977</v>
      </c>
      <c r="N177" s="25"/>
      <c r="O177" s="20" t="s">
        <v>28</v>
      </c>
      <c r="P177" s="25"/>
      <c r="Q177" s="25"/>
    </row>
    <row r="178" spans="1:17" ht="13.5" customHeight="1">
      <c r="A178" s="19" t="s">
        <v>368</v>
      </c>
      <c r="B178" s="20" t="s">
        <v>1256</v>
      </c>
      <c r="C178" s="21">
        <v>9783540790273</v>
      </c>
      <c r="D178" s="22" t="s">
        <v>420</v>
      </c>
      <c r="E178" s="23" t="str">
        <f>HYPERLINK("http://www.springer.com/gp/book/9783540790273","Hydrogen Technology")</f>
        <v>Hydrogen Technology</v>
      </c>
      <c r="F178" s="24">
        <v>2008</v>
      </c>
      <c r="G178" s="25" t="s">
        <v>957</v>
      </c>
      <c r="H178" s="70">
        <v>333.8</v>
      </c>
      <c r="I178" s="26">
        <v>25</v>
      </c>
      <c r="J178" s="68">
        <v>250.35</v>
      </c>
      <c r="K178" s="84">
        <v>289</v>
      </c>
      <c r="L178" s="85" t="s">
        <v>958</v>
      </c>
      <c r="M178" s="27" t="s">
        <v>977</v>
      </c>
      <c r="N178" s="25"/>
      <c r="O178" s="20" t="s">
        <v>3</v>
      </c>
      <c r="P178" s="25" t="s">
        <v>421</v>
      </c>
      <c r="Q178" s="25" t="s">
        <v>362</v>
      </c>
    </row>
    <row r="179" spans="1:17" ht="13.5" customHeight="1">
      <c r="A179" s="19" t="s">
        <v>368</v>
      </c>
      <c r="B179" s="20" t="s">
        <v>1256</v>
      </c>
      <c r="C179" s="21">
        <v>9783642284175</v>
      </c>
      <c r="D179" s="22" t="s">
        <v>370</v>
      </c>
      <c r="E179" s="23" t="str">
        <f>HYPERLINK("http://www.springer.com/gp/book/9783642284175","Biomass Conversion")</f>
        <v>Biomass Conversion</v>
      </c>
      <c r="F179" s="24">
        <v>2012</v>
      </c>
      <c r="G179" s="25" t="s">
        <v>957</v>
      </c>
      <c r="H179" s="70">
        <v>196.29</v>
      </c>
      <c r="I179" s="26">
        <v>20</v>
      </c>
      <c r="J179" s="68">
        <v>157.03</v>
      </c>
      <c r="K179" s="84">
        <v>169.95</v>
      </c>
      <c r="L179" s="85" t="s">
        <v>958</v>
      </c>
      <c r="M179" s="27" t="s">
        <v>977</v>
      </c>
      <c r="N179" s="25"/>
      <c r="O179" s="20" t="s">
        <v>3</v>
      </c>
      <c r="P179" s="25" t="s">
        <v>371</v>
      </c>
      <c r="Q179" s="25"/>
    </row>
    <row r="180" spans="1:17" ht="13.5" customHeight="1">
      <c r="A180" s="19" t="s">
        <v>368</v>
      </c>
      <c r="B180" s="20" t="s">
        <v>1256</v>
      </c>
      <c r="C180" s="21">
        <v>9781447143772</v>
      </c>
      <c r="D180" s="22" t="s">
        <v>387</v>
      </c>
      <c r="E180" s="23" t="str">
        <f>HYPERLINK("http://www.springer.com/gp/book/9781447143772","Photovoltaic Sources")</f>
        <v>Photovoltaic Sources</v>
      </c>
      <c r="F180" s="24">
        <v>2013</v>
      </c>
      <c r="G180" s="25" t="s">
        <v>957</v>
      </c>
      <c r="H180" s="70">
        <v>173.24</v>
      </c>
      <c r="I180" s="26">
        <v>20</v>
      </c>
      <c r="J180" s="68">
        <v>138.59</v>
      </c>
      <c r="K180" s="84">
        <v>149.99</v>
      </c>
      <c r="L180" s="85" t="s">
        <v>958</v>
      </c>
      <c r="M180" s="27" t="s">
        <v>977</v>
      </c>
      <c r="N180" s="25"/>
      <c r="O180" s="20" t="s">
        <v>3</v>
      </c>
      <c r="P180" s="25" t="s">
        <v>388</v>
      </c>
      <c r="Q180" s="25" t="s">
        <v>362</v>
      </c>
    </row>
    <row r="181" spans="1:17" ht="13.5" customHeight="1">
      <c r="A181" s="19" t="s">
        <v>368</v>
      </c>
      <c r="B181" s="20" t="s">
        <v>1223</v>
      </c>
      <c r="C181" s="21">
        <v>9783540491255</v>
      </c>
      <c r="D181" s="22" t="s">
        <v>372</v>
      </c>
      <c r="E181" s="23" t="str">
        <f>HYPERLINK("http://www.springer.com/gp/book/9783540491255","Springer Handbook of Speech Processing")</f>
        <v>Springer Handbook of Speech Processing</v>
      </c>
      <c r="F181" s="24">
        <v>2008</v>
      </c>
      <c r="G181" s="25" t="s">
        <v>957</v>
      </c>
      <c r="H181" s="70">
        <v>287.6</v>
      </c>
      <c r="I181" s="26">
        <v>25</v>
      </c>
      <c r="J181" s="68">
        <v>215.7</v>
      </c>
      <c r="K181" s="84">
        <v>249</v>
      </c>
      <c r="L181" s="85" t="s">
        <v>958</v>
      </c>
      <c r="M181" s="27" t="s">
        <v>977</v>
      </c>
      <c r="N181" s="25"/>
      <c r="O181" s="20" t="s">
        <v>8</v>
      </c>
      <c r="P181" s="25"/>
      <c r="Q181" s="25"/>
    </row>
    <row r="182" spans="1:17" ht="13.5" customHeight="1">
      <c r="A182" s="19" t="s">
        <v>368</v>
      </c>
      <c r="B182" s="20" t="s">
        <v>1267</v>
      </c>
      <c r="C182" s="21">
        <v>9783540357773</v>
      </c>
      <c r="D182" s="22" t="s">
        <v>479</v>
      </c>
      <c r="E182" s="23" t="str">
        <f>HYPERLINK("http://www.springer.com/gp/book/9783540357773","Complexity Explained")</f>
        <v>Complexity Explained</v>
      </c>
      <c r="F182" s="24">
        <v>2008</v>
      </c>
      <c r="G182" s="25" t="s">
        <v>957</v>
      </c>
      <c r="H182" s="70">
        <v>67.34</v>
      </c>
      <c r="I182" s="26">
        <v>25</v>
      </c>
      <c r="J182" s="68">
        <v>50.51</v>
      </c>
      <c r="K182" s="84">
        <v>56.95</v>
      </c>
      <c r="L182" s="85" t="s">
        <v>958</v>
      </c>
      <c r="M182" s="27" t="s">
        <v>977</v>
      </c>
      <c r="N182" s="25"/>
      <c r="O182" s="20" t="s">
        <v>3</v>
      </c>
      <c r="P182" s="25"/>
      <c r="Q182" s="25"/>
    </row>
    <row r="183" spans="1:17" ht="13.5" customHeight="1">
      <c r="A183" s="19" t="s">
        <v>368</v>
      </c>
      <c r="B183" s="20" t="s">
        <v>1267</v>
      </c>
      <c r="C183" s="21">
        <v>9783540710004</v>
      </c>
      <c r="D183" s="22" t="s">
        <v>472</v>
      </c>
      <c r="E183" s="23" t="str">
        <f>HYPERLINK("http://www.springer.com/gp/book/9783540710004","Nonlinear Finite Element Methods")</f>
        <v>Nonlinear Finite Element Methods</v>
      </c>
      <c r="F183" s="24">
        <v>2008</v>
      </c>
      <c r="G183" s="25" t="s">
        <v>957</v>
      </c>
      <c r="H183" s="70">
        <v>115.44</v>
      </c>
      <c r="I183" s="26">
        <v>25</v>
      </c>
      <c r="J183" s="68">
        <v>86.58</v>
      </c>
      <c r="K183" s="84">
        <v>99.95</v>
      </c>
      <c r="L183" s="85" t="s">
        <v>958</v>
      </c>
      <c r="M183" s="27" t="s">
        <v>977</v>
      </c>
      <c r="N183" s="25"/>
      <c r="O183" s="20" t="s">
        <v>22</v>
      </c>
      <c r="P183" s="25"/>
      <c r="Q183" s="25"/>
    </row>
    <row r="184" spans="1:17" ht="13.5" customHeight="1">
      <c r="A184" s="19" t="s">
        <v>368</v>
      </c>
      <c r="B184" s="20" t="s">
        <v>1267</v>
      </c>
      <c r="C184" s="21">
        <v>9783540785330</v>
      </c>
      <c r="D184" s="22" t="s">
        <v>453</v>
      </c>
      <c r="E184" s="23" t="str">
        <f>HYPERLINK("http://www.springer.com/gp/book/9783540785330","Applications of Computational Intelligence in Biology")</f>
        <v>Applications of Computational Intelligence in Biology</v>
      </c>
      <c r="F184" s="24">
        <v>2008</v>
      </c>
      <c r="G184" s="25" t="s">
        <v>957</v>
      </c>
      <c r="H184" s="70">
        <v>225.21</v>
      </c>
      <c r="I184" s="26">
        <v>25</v>
      </c>
      <c r="J184" s="68">
        <v>168.91</v>
      </c>
      <c r="K184" s="84">
        <v>194.99</v>
      </c>
      <c r="L184" s="85" t="s">
        <v>958</v>
      </c>
      <c r="M184" s="27" t="s">
        <v>977</v>
      </c>
      <c r="N184" s="25"/>
      <c r="O184" s="20" t="s">
        <v>3</v>
      </c>
      <c r="P184" s="25" t="s">
        <v>454</v>
      </c>
      <c r="Q184" s="25" t="s">
        <v>455</v>
      </c>
    </row>
    <row r="185" spans="1:17" ht="13.5" customHeight="1">
      <c r="A185" s="19" t="s">
        <v>368</v>
      </c>
      <c r="B185" s="20" t="s">
        <v>1267</v>
      </c>
      <c r="C185" s="21">
        <v>9783540782926</v>
      </c>
      <c r="D185" s="22" t="s">
        <v>395</v>
      </c>
      <c r="E185" s="23" t="str">
        <f>HYPERLINK("http://www.springer.com/gp/book/9783540782926","Computational Intelligence: A Compendium")</f>
        <v>Computational Intelligence: A Compendium</v>
      </c>
      <c r="F185" s="24">
        <v>2008</v>
      </c>
      <c r="G185" s="25" t="s">
        <v>957</v>
      </c>
      <c r="H185" s="70">
        <v>399.26</v>
      </c>
      <c r="I185" s="26">
        <v>25</v>
      </c>
      <c r="J185" s="68">
        <v>299.45</v>
      </c>
      <c r="K185" s="84">
        <v>349</v>
      </c>
      <c r="L185" s="85" t="s">
        <v>958</v>
      </c>
      <c r="M185" s="27" t="s">
        <v>977</v>
      </c>
      <c r="N185" s="25"/>
      <c r="O185" s="20" t="s">
        <v>3</v>
      </c>
      <c r="P185" s="25"/>
      <c r="Q185" s="25" t="s">
        <v>396</v>
      </c>
    </row>
    <row r="186" spans="1:17" ht="13.5" customHeight="1">
      <c r="A186" s="19" t="s">
        <v>368</v>
      </c>
      <c r="B186" s="20" t="s">
        <v>1119</v>
      </c>
      <c r="C186" s="21">
        <v>9783540739555</v>
      </c>
      <c r="D186" s="22" t="s">
        <v>407</v>
      </c>
      <c r="E186" s="23" t="str">
        <f>HYPERLINK("http://www.springer.com/gp/book/9783540739555","Recent Advances in Mechatronics")</f>
        <v>Recent Advances in Mechatronics</v>
      </c>
      <c r="F186" s="24">
        <v>2007</v>
      </c>
      <c r="G186" s="25" t="s">
        <v>957</v>
      </c>
      <c r="H186" s="70">
        <v>364.94</v>
      </c>
      <c r="I186" s="26">
        <v>30</v>
      </c>
      <c r="J186" s="68">
        <v>255.46</v>
      </c>
      <c r="K186" s="84">
        <v>319</v>
      </c>
      <c r="L186" s="85" t="s">
        <v>958</v>
      </c>
      <c r="M186" s="27" t="s">
        <v>977</v>
      </c>
      <c r="N186" s="25"/>
      <c r="O186" s="20" t="s">
        <v>213</v>
      </c>
      <c r="P186" s="25"/>
      <c r="Q186" s="25"/>
    </row>
    <row r="187" spans="1:17" ht="13.5" customHeight="1">
      <c r="A187" s="19" t="s">
        <v>368</v>
      </c>
      <c r="B187" s="20" t="s">
        <v>1261</v>
      </c>
      <c r="C187" s="21">
        <v>9780387333328</v>
      </c>
      <c r="D187" s="22" t="s">
        <v>377</v>
      </c>
      <c r="E187" s="23" t="str">
        <f>HYPERLINK("http://www.springer.com/gp/book/9780387333328","Introduction to Discrete Event Systems")</f>
        <v>Introduction to Discrete Event Systems</v>
      </c>
      <c r="F187" s="24">
        <v>2008</v>
      </c>
      <c r="G187" s="25" t="s">
        <v>957</v>
      </c>
      <c r="H187" s="70">
        <v>88.63</v>
      </c>
      <c r="I187" s="26">
        <v>25</v>
      </c>
      <c r="J187" s="68">
        <v>66.47</v>
      </c>
      <c r="K187" s="84">
        <v>74.95</v>
      </c>
      <c r="L187" s="85" t="s">
        <v>958</v>
      </c>
      <c r="M187" s="27" t="s">
        <v>977</v>
      </c>
      <c r="N187" s="25" t="s">
        <v>1061</v>
      </c>
      <c r="O187" s="20" t="s">
        <v>22</v>
      </c>
      <c r="P187" s="25"/>
      <c r="Q187" s="25"/>
    </row>
    <row r="188" spans="1:17" ht="13.5" customHeight="1">
      <c r="A188" s="19" t="s">
        <v>368</v>
      </c>
      <c r="B188" s="20" t="s">
        <v>1261</v>
      </c>
      <c r="C188" s="21">
        <v>9783540766285</v>
      </c>
      <c r="D188" s="22" t="s">
        <v>475</v>
      </c>
      <c r="E188" s="23" t="str">
        <f>HYPERLINK("http://www.springer.com/gp/book/9783540766285","POF Handbook")</f>
        <v>POF Handbook</v>
      </c>
      <c r="F188" s="24">
        <v>2008</v>
      </c>
      <c r="G188" s="25" t="s">
        <v>957</v>
      </c>
      <c r="H188" s="70">
        <v>230.94</v>
      </c>
      <c r="I188" s="26">
        <v>25</v>
      </c>
      <c r="J188" s="68">
        <v>173.21</v>
      </c>
      <c r="K188" s="84">
        <v>199.95</v>
      </c>
      <c r="L188" s="85" t="s">
        <v>958</v>
      </c>
      <c r="M188" s="27" t="s">
        <v>977</v>
      </c>
      <c r="N188" s="25" t="s">
        <v>1061</v>
      </c>
      <c r="O188" s="20" t="s">
        <v>28</v>
      </c>
      <c r="P188" s="25" t="s">
        <v>476</v>
      </c>
      <c r="Q188" s="25"/>
    </row>
    <row r="189" spans="1:17" ht="13.5" customHeight="1">
      <c r="A189" s="19" t="s">
        <v>368</v>
      </c>
      <c r="B189" s="20" t="s">
        <v>1261</v>
      </c>
      <c r="C189" s="21">
        <v>9783540239574</v>
      </c>
      <c r="D189" s="22" t="s">
        <v>452</v>
      </c>
      <c r="E189" s="23" t="str">
        <f>HYPERLINK("http://www.springer.com/gp/book/9783540239574","Springer Handbook of Robotics")</f>
        <v>Springer Handbook of Robotics</v>
      </c>
      <c r="F189" s="24">
        <v>2008</v>
      </c>
      <c r="G189" s="25" t="s">
        <v>957</v>
      </c>
      <c r="H189" s="70">
        <v>287.6</v>
      </c>
      <c r="I189" s="26">
        <v>25</v>
      </c>
      <c r="J189" s="68">
        <v>215.7</v>
      </c>
      <c r="K189" s="84">
        <v>249</v>
      </c>
      <c r="L189" s="85" t="s">
        <v>958</v>
      </c>
      <c r="M189" s="27" t="s">
        <v>977</v>
      </c>
      <c r="N189" s="25"/>
      <c r="O189" s="20" t="s">
        <v>8</v>
      </c>
      <c r="P189" s="25"/>
      <c r="Q189" s="25"/>
    </row>
    <row r="190" spans="1:17" ht="13.5" customHeight="1">
      <c r="A190" s="19" t="s">
        <v>368</v>
      </c>
      <c r="B190" s="20" t="s">
        <v>1261</v>
      </c>
      <c r="C190" s="21">
        <v>9783540788300</v>
      </c>
      <c r="D190" s="22" t="s">
        <v>432</v>
      </c>
      <c r="E190" s="23" t="str">
        <f>HYPERLINK("http://www.springer.com/gp/book/9783540788300","Springer Handbook of Automation")</f>
        <v>Springer Handbook of Automation</v>
      </c>
      <c r="F190" s="24">
        <v>2009</v>
      </c>
      <c r="G190" s="25" t="s">
        <v>957</v>
      </c>
      <c r="H190" s="70">
        <v>287.6</v>
      </c>
      <c r="I190" s="26">
        <v>25</v>
      </c>
      <c r="J190" s="68">
        <v>215.7</v>
      </c>
      <c r="K190" s="84">
        <v>249</v>
      </c>
      <c r="L190" s="85" t="s">
        <v>958</v>
      </c>
      <c r="M190" s="27" t="s">
        <v>977</v>
      </c>
      <c r="N190" s="25"/>
      <c r="O190" s="20" t="s">
        <v>8</v>
      </c>
      <c r="P190" s="25"/>
      <c r="Q190" s="25"/>
    </row>
    <row r="191" spans="1:17" ht="13.5" customHeight="1">
      <c r="A191" s="19" t="s">
        <v>368</v>
      </c>
      <c r="B191" s="20" t="s">
        <v>1261</v>
      </c>
      <c r="C191" s="21">
        <v>9781447146278</v>
      </c>
      <c r="D191" s="22" t="s">
        <v>424</v>
      </c>
      <c r="E191" s="23" t="str">
        <f>HYPERLINK("http://www.springer.com/gp/book/9781447146278","Intelligent Mechatronic Systems")</f>
        <v>Intelligent Mechatronic Systems</v>
      </c>
      <c r="F191" s="24">
        <v>2013</v>
      </c>
      <c r="G191" s="25" t="s">
        <v>957</v>
      </c>
      <c r="H191" s="70">
        <v>276.05</v>
      </c>
      <c r="I191" s="26">
        <v>20</v>
      </c>
      <c r="J191" s="68">
        <v>220.84</v>
      </c>
      <c r="K191" s="84">
        <v>239</v>
      </c>
      <c r="L191" s="85" t="s">
        <v>958</v>
      </c>
      <c r="M191" s="27" t="s">
        <v>977</v>
      </c>
      <c r="N191" s="25"/>
      <c r="O191" s="20" t="s">
        <v>3</v>
      </c>
      <c r="P191" s="25" t="s">
        <v>425</v>
      </c>
      <c r="Q191" s="25"/>
    </row>
    <row r="192" spans="1:17" ht="13.5" customHeight="1">
      <c r="A192" s="28" t="s">
        <v>368</v>
      </c>
      <c r="B192" s="27" t="s">
        <v>1073</v>
      </c>
      <c r="C192" s="29">
        <v>9780817640897</v>
      </c>
      <c r="D192" s="30" t="s">
        <v>1003</v>
      </c>
      <c r="E192" s="31" t="s">
        <v>1004</v>
      </c>
      <c r="F192" s="32">
        <v>1999</v>
      </c>
      <c r="G192" s="33" t="s">
        <v>957</v>
      </c>
      <c r="H192" s="71">
        <v>101.16</v>
      </c>
      <c r="I192" s="26">
        <v>30</v>
      </c>
      <c r="J192" s="68">
        <v>70.81</v>
      </c>
      <c r="K192" s="86">
        <v>85.55</v>
      </c>
      <c r="L192" s="87" t="s">
        <v>958</v>
      </c>
      <c r="M192" s="27" t="s">
        <v>977</v>
      </c>
      <c r="N192" s="29"/>
      <c r="O192" s="20" t="s">
        <v>3</v>
      </c>
      <c r="P192" s="27"/>
      <c r="Q192" s="27" t="s">
        <v>1072</v>
      </c>
    </row>
    <row r="193" spans="1:17" ht="13.5" customHeight="1">
      <c r="A193" s="19" t="s">
        <v>368</v>
      </c>
      <c r="B193" s="20" t="s">
        <v>1258</v>
      </c>
      <c r="C193" s="21">
        <v>9781447145721</v>
      </c>
      <c r="D193" s="22" t="s">
        <v>450</v>
      </c>
      <c r="E193" s="23" t="str">
        <f>HYPERLINK("http://www.springer.com/gp/book/9781447145721","Exergy")</f>
        <v>Exergy</v>
      </c>
      <c r="F193" s="24">
        <v>2013</v>
      </c>
      <c r="G193" s="25" t="s">
        <v>957</v>
      </c>
      <c r="H193" s="70">
        <v>173.24</v>
      </c>
      <c r="I193" s="26">
        <v>20</v>
      </c>
      <c r="J193" s="68">
        <v>138.59</v>
      </c>
      <c r="K193" s="84">
        <v>149.99</v>
      </c>
      <c r="L193" s="85" t="s">
        <v>958</v>
      </c>
      <c r="M193" s="27" t="s">
        <v>977</v>
      </c>
      <c r="N193" s="25"/>
      <c r="O193" s="20" t="s">
        <v>3</v>
      </c>
      <c r="P193" s="25" t="s">
        <v>451</v>
      </c>
      <c r="Q193" s="25" t="s">
        <v>362</v>
      </c>
    </row>
    <row r="194" spans="1:17" ht="13.5" customHeight="1">
      <c r="A194" s="28" t="s">
        <v>368</v>
      </c>
      <c r="B194" s="27" t="s">
        <v>1077</v>
      </c>
      <c r="C194" s="29">
        <v>9781441960214</v>
      </c>
      <c r="D194" s="30" t="s">
        <v>968</v>
      </c>
      <c r="E194" s="31" t="s">
        <v>969</v>
      </c>
      <c r="F194" s="32">
        <v>2013</v>
      </c>
      <c r="G194" s="33" t="s">
        <v>957</v>
      </c>
      <c r="H194" s="71">
        <v>88.51</v>
      </c>
      <c r="I194" s="26">
        <v>20</v>
      </c>
      <c r="J194" s="68">
        <v>70.81</v>
      </c>
      <c r="K194" s="86">
        <v>74.85</v>
      </c>
      <c r="L194" s="87" t="s">
        <v>958</v>
      </c>
      <c r="M194" s="27" t="s">
        <v>977</v>
      </c>
      <c r="N194" s="29"/>
      <c r="O194" s="20" t="s">
        <v>3</v>
      </c>
      <c r="P194" s="27"/>
      <c r="Q194" s="27"/>
    </row>
    <row r="195" spans="1:17" ht="13.5" customHeight="1">
      <c r="A195" s="19" t="s">
        <v>368</v>
      </c>
      <c r="B195" s="20" t="s">
        <v>1262</v>
      </c>
      <c r="C195" s="21">
        <v>9781402077203</v>
      </c>
      <c r="D195" s="22" t="s">
        <v>466</v>
      </c>
      <c r="E195" s="23" t="str">
        <f>HYPERLINK("http://www.springer.com/gp/book/9781402077203","Introduction to Nanoscale Science and Technology")</f>
        <v>Introduction to Nanoscale Science and Technology</v>
      </c>
      <c r="F195" s="24">
        <v>2004</v>
      </c>
      <c r="G195" s="25" t="s">
        <v>957</v>
      </c>
      <c r="H195" s="70">
        <v>106.41</v>
      </c>
      <c r="I195" s="26">
        <v>30</v>
      </c>
      <c r="J195" s="68">
        <v>74.49</v>
      </c>
      <c r="K195" s="84">
        <v>89.99</v>
      </c>
      <c r="L195" s="85" t="s">
        <v>958</v>
      </c>
      <c r="M195" s="27" t="s">
        <v>977</v>
      </c>
      <c r="N195" s="25"/>
      <c r="O195" s="20" t="s">
        <v>22</v>
      </c>
      <c r="P195" s="25"/>
      <c r="Q195" s="25" t="s">
        <v>467</v>
      </c>
    </row>
    <row r="196" spans="1:17" ht="13.5" customHeight="1">
      <c r="A196" s="19" t="s">
        <v>368</v>
      </c>
      <c r="B196" s="20" t="s">
        <v>1262</v>
      </c>
      <c r="C196" s="21">
        <v>9780387332024</v>
      </c>
      <c r="D196" s="22" t="s">
        <v>415</v>
      </c>
      <c r="E196" s="23" t="str">
        <f>HYPERLINK("http://www.springer.com/gp/book/9780387332024","Nanocomposites")</f>
        <v>Nanocomposites</v>
      </c>
      <c r="F196" s="24">
        <v>2008</v>
      </c>
      <c r="G196" s="25" t="s">
        <v>957</v>
      </c>
      <c r="H196" s="70">
        <v>150.14</v>
      </c>
      <c r="I196" s="26">
        <v>25</v>
      </c>
      <c r="J196" s="68">
        <v>112.61</v>
      </c>
      <c r="K196" s="84">
        <v>129.99</v>
      </c>
      <c r="L196" s="85" t="s">
        <v>958</v>
      </c>
      <c r="M196" s="27" t="s">
        <v>977</v>
      </c>
      <c r="N196" s="25"/>
      <c r="O196" s="20" t="s">
        <v>10</v>
      </c>
      <c r="P196" s="25" t="s">
        <v>416</v>
      </c>
      <c r="Q196" s="25" t="s">
        <v>417</v>
      </c>
    </row>
    <row r="197" spans="1:17" ht="13.5" customHeight="1">
      <c r="A197" s="19" t="s">
        <v>368</v>
      </c>
      <c r="B197" s="20" t="s">
        <v>1262</v>
      </c>
      <c r="C197" s="21">
        <v>9783540784241</v>
      </c>
      <c r="D197" s="22" t="s">
        <v>433</v>
      </c>
      <c r="E197" s="23" t="str">
        <f>HYPERLINK("http://www.springer.com/gp/book/9783540784241","Multiscale Dissipative Mechanisms and Hierarchical Surfaces")</f>
        <v>Multiscale Dissipative Mechanisms and Hierarchical Surfaces</v>
      </c>
      <c r="F197" s="24">
        <v>2008</v>
      </c>
      <c r="G197" s="25" t="s">
        <v>957</v>
      </c>
      <c r="H197" s="70">
        <v>196.29</v>
      </c>
      <c r="I197" s="26">
        <v>25</v>
      </c>
      <c r="J197" s="68">
        <v>147.22</v>
      </c>
      <c r="K197" s="84">
        <v>169.95</v>
      </c>
      <c r="L197" s="85" t="s">
        <v>958</v>
      </c>
      <c r="M197" s="27" t="s">
        <v>977</v>
      </c>
      <c r="N197" s="25"/>
      <c r="O197" s="20" t="s">
        <v>3</v>
      </c>
      <c r="P197" s="25" t="s">
        <v>434</v>
      </c>
      <c r="Q197" s="25" t="s">
        <v>435</v>
      </c>
    </row>
    <row r="198" spans="1:17" ht="13.5" customHeight="1">
      <c r="A198" s="19" t="s">
        <v>368</v>
      </c>
      <c r="B198" s="20" t="s">
        <v>1262</v>
      </c>
      <c r="C198" s="21">
        <v>9783642025242</v>
      </c>
      <c r="D198" s="22" t="s">
        <v>373</v>
      </c>
      <c r="E198" s="23" t="str">
        <f>HYPERLINK("http://www.springer.com/gp/book/9783642025242","Springer Handbook of Nanotechnology")</f>
        <v>Springer Handbook of Nanotechnology</v>
      </c>
      <c r="F198" s="24">
        <v>2010</v>
      </c>
      <c r="G198" s="25" t="s">
        <v>957</v>
      </c>
      <c r="H198" s="70">
        <v>287.6</v>
      </c>
      <c r="I198" s="26">
        <v>25</v>
      </c>
      <c r="J198" s="68">
        <v>215.7</v>
      </c>
      <c r="K198" s="84">
        <v>249</v>
      </c>
      <c r="L198" s="85" t="s">
        <v>958</v>
      </c>
      <c r="M198" s="27" t="s">
        <v>977</v>
      </c>
      <c r="N198" s="25" t="s">
        <v>1054</v>
      </c>
      <c r="O198" s="20" t="s">
        <v>8</v>
      </c>
      <c r="P198" s="25"/>
      <c r="Q198" s="25"/>
    </row>
    <row r="199" spans="1:17" ht="13.5" customHeight="1">
      <c r="A199" s="19" t="s">
        <v>368</v>
      </c>
      <c r="B199" s="20" t="s">
        <v>1259</v>
      </c>
      <c r="C199" s="21">
        <v>9781852338060</v>
      </c>
      <c r="D199" s="22" t="s">
        <v>436</v>
      </c>
      <c r="E199" s="23" t="str">
        <f>HYPERLINK("http://www.springer.com/gp/book/9781852338060","Springer Handbook of Engineering Statistics")</f>
        <v>Springer Handbook of Engineering Statistics</v>
      </c>
      <c r="F199" s="24">
        <v>2006</v>
      </c>
      <c r="G199" s="25" t="s">
        <v>957</v>
      </c>
      <c r="H199" s="70">
        <v>287.6</v>
      </c>
      <c r="I199" s="26">
        <v>30</v>
      </c>
      <c r="J199" s="68">
        <v>201.32</v>
      </c>
      <c r="K199" s="84">
        <v>249</v>
      </c>
      <c r="L199" s="85" t="s">
        <v>958</v>
      </c>
      <c r="M199" s="27" t="s">
        <v>977</v>
      </c>
      <c r="N199" s="25"/>
      <c r="O199" s="20" t="s">
        <v>8</v>
      </c>
      <c r="P199" s="25"/>
      <c r="Q199" s="25"/>
    </row>
    <row r="200" spans="1:17" ht="13.5" customHeight="1">
      <c r="A200" s="19" t="s">
        <v>368</v>
      </c>
      <c r="B200" s="20" t="s">
        <v>1259</v>
      </c>
      <c r="C200" s="21">
        <v>9781848001305</v>
      </c>
      <c r="D200" s="22" t="s">
        <v>427</v>
      </c>
      <c r="E200" s="23" t="str">
        <f>HYPERLINK("http://www.springer.com/gp/book/9781848001305","Handbook of Performability Engineering")</f>
        <v>Handbook of Performability Engineering</v>
      </c>
      <c r="F200" s="24">
        <v>2008</v>
      </c>
      <c r="G200" s="25" t="s">
        <v>957</v>
      </c>
      <c r="H200" s="70">
        <v>310.7</v>
      </c>
      <c r="I200" s="26">
        <v>25</v>
      </c>
      <c r="J200" s="68">
        <v>233.03</v>
      </c>
      <c r="K200" s="84">
        <v>269</v>
      </c>
      <c r="L200" s="85" t="s">
        <v>958</v>
      </c>
      <c r="M200" s="27" t="s">
        <v>977</v>
      </c>
      <c r="N200" s="25"/>
      <c r="O200" s="20" t="s">
        <v>64</v>
      </c>
      <c r="P200" s="25"/>
      <c r="Q200" s="25"/>
    </row>
    <row r="201" spans="1:17" ht="13.5" customHeight="1">
      <c r="A201" s="19" t="s">
        <v>368</v>
      </c>
      <c r="B201" s="20" t="s">
        <v>1260</v>
      </c>
      <c r="C201" s="21">
        <v>9783642332401</v>
      </c>
      <c r="D201" s="22" t="s">
        <v>437</v>
      </c>
      <c r="E201" s="23" t="str">
        <f>HYPERLINK("http://www.springer.com/gp/book/9783642332401","Robot Physical Interaction through the combination of Vision, Tactile and Force Feedback")</f>
        <v>Robot Physical Interaction through the combination of Vision, Tactile and Force Feedback</v>
      </c>
      <c r="F201" s="24">
        <v>2013</v>
      </c>
      <c r="G201" s="25" t="s">
        <v>957</v>
      </c>
      <c r="H201" s="70">
        <v>115.49</v>
      </c>
      <c r="I201" s="26">
        <v>20</v>
      </c>
      <c r="J201" s="68">
        <v>92.39</v>
      </c>
      <c r="K201" s="84">
        <v>99.99</v>
      </c>
      <c r="L201" s="85" t="s">
        <v>958</v>
      </c>
      <c r="M201" s="27" t="s">
        <v>977</v>
      </c>
      <c r="N201" s="25"/>
      <c r="O201" s="20" t="s">
        <v>3</v>
      </c>
      <c r="P201" s="25" t="s">
        <v>438</v>
      </c>
      <c r="Q201" s="25" t="s">
        <v>439</v>
      </c>
    </row>
    <row r="202" spans="1:17" ht="13.5" customHeight="1">
      <c r="A202" s="28" t="s">
        <v>368</v>
      </c>
      <c r="B202" s="27" t="s">
        <v>1066</v>
      </c>
      <c r="C202" s="29">
        <v>9780387310213</v>
      </c>
      <c r="D202" s="30" t="s">
        <v>1000</v>
      </c>
      <c r="E202" s="31" t="s">
        <v>1065</v>
      </c>
      <c r="F202" s="32">
        <v>2007</v>
      </c>
      <c r="G202" s="33" t="s">
        <v>957</v>
      </c>
      <c r="H202" s="71">
        <v>583.44</v>
      </c>
      <c r="I202" s="26">
        <v>30</v>
      </c>
      <c r="J202" s="68">
        <v>408.41</v>
      </c>
      <c r="K202" s="86">
        <v>510</v>
      </c>
      <c r="L202" s="87" t="s">
        <v>958</v>
      </c>
      <c r="M202" s="27" t="s">
        <v>977</v>
      </c>
      <c r="N202" s="29"/>
      <c r="O202" s="20" t="s">
        <v>3</v>
      </c>
      <c r="P202" s="27"/>
      <c r="Q202" s="27"/>
    </row>
    <row r="203" spans="1:17" ht="13.5" customHeight="1">
      <c r="A203" s="19" t="s">
        <v>368</v>
      </c>
      <c r="B203" s="20" t="s">
        <v>1266</v>
      </c>
      <c r="C203" s="21">
        <v>9783211997086</v>
      </c>
      <c r="D203" s="22" t="s">
        <v>413</v>
      </c>
      <c r="E203" s="23" t="str">
        <f>HYPERLINK("http://www.springer.com/gp/book/9783211997086","Advances in Constitutive Relations Applied in Computer Codes")</f>
        <v>Advances in Constitutive Relations Applied in Computer Codes</v>
      </c>
      <c r="F203" s="24">
        <v>2009</v>
      </c>
      <c r="G203" s="25" t="s">
        <v>957</v>
      </c>
      <c r="H203" s="70">
        <v>172.1</v>
      </c>
      <c r="I203" s="26">
        <v>25</v>
      </c>
      <c r="J203" s="68">
        <v>129.08</v>
      </c>
      <c r="K203" s="84">
        <v>149</v>
      </c>
      <c r="L203" s="85" t="s">
        <v>958</v>
      </c>
      <c r="M203" s="27" t="s">
        <v>977</v>
      </c>
      <c r="N203" s="25"/>
      <c r="O203" s="20" t="s">
        <v>10</v>
      </c>
      <c r="P203" s="25"/>
      <c r="Q203" s="25" t="s">
        <v>414</v>
      </c>
    </row>
    <row r="204" spans="1:17" ht="13.5" customHeight="1">
      <c r="A204" s="19" t="s">
        <v>368</v>
      </c>
      <c r="B204" s="20" t="s">
        <v>1266</v>
      </c>
      <c r="C204" s="21">
        <v>9789400752870</v>
      </c>
      <c r="D204" s="22" t="s">
        <v>444</v>
      </c>
      <c r="E204" s="23" t="str">
        <f>HYPERLINK("http://www.springer.com/gp/book/9789400752870","Numerical Methods for Differential Equations, Optimization, and Technological Problems")</f>
        <v>Numerical Methods for Differential Equations, Optimization, and Technological Problems</v>
      </c>
      <c r="F204" s="24">
        <v>2013</v>
      </c>
      <c r="G204" s="25" t="s">
        <v>957</v>
      </c>
      <c r="H204" s="70">
        <v>225.21</v>
      </c>
      <c r="I204" s="26">
        <v>20</v>
      </c>
      <c r="J204" s="68">
        <v>180.17</v>
      </c>
      <c r="K204" s="84">
        <v>194.99</v>
      </c>
      <c r="L204" s="85" t="s">
        <v>958</v>
      </c>
      <c r="M204" s="27" t="s">
        <v>977</v>
      </c>
      <c r="N204" s="25"/>
      <c r="O204" s="20" t="s">
        <v>10</v>
      </c>
      <c r="P204" s="25" t="s">
        <v>445</v>
      </c>
      <c r="Q204" s="25" t="s">
        <v>446</v>
      </c>
    </row>
    <row r="205" spans="1:17" ht="13.5" customHeight="1">
      <c r="A205" s="19" t="s">
        <v>368</v>
      </c>
      <c r="B205" s="20" t="s">
        <v>1265</v>
      </c>
      <c r="C205" s="21">
        <v>9781402091254</v>
      </c>
      <c r="D205" s="22" t="s">
        <v>464</v>
      </c>
      <c r="E205" s="23" t="str">
        <f>HYPERLINK("http://www.springer.com/gp/book/9781402091254","Nonlinear Targeted Energy Transfer in Mechanical and Structural Systems")</f>
        <v>Nonlinear Targeted Energy Transfer in Mechanical and Structural Systems</v>
      </c>
      <c r="F205" s="24">
        <v>2009</v>
      </c>
      <c r="G205" s="25" t="s">
        <v>957</v>
      </c>
      <c r="H205" s="70">
        <v>364.94</v>
      </c>
      <c r="I205" s="26">
        <v>25</v>
      </c>
      <c r="J205" s="68">
        <v>273.71</v>
      </c>
      <c r="K205" s="84">
        <v>319</v>
      </c>
      <c r="L205" s="85" t="s">
        <v>958</v>
      </c>
      <c r="M205" s="27" t="s">
        <v>977</v>
      </c>
      <c r="N205" s="25"/>
      <c r="O205" s="20" t="s">
        <v>3</v>
      </c>
      <c r="P205" s="25"/>
      <c r="Q205" s="25" t="s">
        <v>465</v>
      </c>
    </row>
    <row r="206" spans="1:17" ht="13.5" customHeight="1">
      <c r="A206" s="19" t="s">
        <v>482</v>
      </c>
      <c r="B206" s="20" t="s">
        <v>1254</v>
      </c>
      <c r="C206" s="21">
        <v>9780387342276</v>
      </c>
      <c r="D206" s="22" t="s">
        <v>495</v>
      </c>
      <c r="E206" s="23" t="str">
        <f>HYPERLINK("http://www.springer.com/gp/book/9780387342276","Introduction to Applied Mathematics for Environmental Science")</f>
        <v>Introduction to Applied Mathematics for Environmental Science</v>
      </c>
      <c r="F206" s="24">
        <v>2006</v>
      </c>
      <c r="G206" s="25" t="s">
        <v>957</v>
      </c>
      <c r="H206" s="70">
        <v>79.17</v>
      </c>
      <c r="I206" s="26">
        <v>30</v>
      </c>
      <c r="J206" s="68">
        <v>55.42</v>
      </c>
      <c r="K206" s="84">
        <v>66.95</v>
      </c>
      <c r="L206" s="85" t="s">
        <v>958</v>
      </c>
      <c r="M206" s="27" t="s">
        <v>977</v>
      </c>
      <c r="N206" s="25"/>
      <c r="O206" s="20" t="s">
        <v>22</v>
      </c>
      <c r="P206" s="25"/>
      <c r="Q206" s="25"/>
    </row>
    <row r="207" spans="1:17" ht="13.5" customHeight="1">
      <c r="A207" s="19" t="s">
        <v>482</v>
      </c>
      <c r="B207" s="20" t="s">
        <v>1254</v>
      </c>
      <c r="C207" s="21">
        <v>9783540782087</v>
      </c>
      <c r="D207" s="22" t="s">
        <v>483</v>
      </c>
      <c r="E207" s="23" t="str">
        <f>HYPERLINK("http://www.springer.com/gp/book/9783540782087","Global Climatology and Ecodynamics")</f>
        <v>Global Climatology and Ecodynamics</v>
      </c>
      <c r="F207" s="24">
        <v>2009</v>
      </c>
      <c r="G207" s="25" t="s">
        <v>957</v>
      </c>
      <c r="H207" s="70">
        <v>299.15</v>
      </c>
      <c r="I207" s="26">
        <v>25</v>
      </c>
      <c r="J207" s="68">
        <v>224.36</v>
      </c>
      <c r="K207" s="84">
        <v>259</v>
      </c>
      <c r="L207" s="85" t="s">
        <v>958</v>
      </c>
      <c r="M207" s="27" t="s">
        <v>977</v>
      </c>
      <c r="N207" s="25"/>
      <c r="O207" s="20" t="s">
        <v>3</v>
      </c>
      <c r="P207" s="25" t="s">
        <v>484</v>
      </c>
      <c r="Q207" s="25" t="s">
        <v>293</v>
      </c>
    </row>
    <row r="208" spans="1:17" ht="13.5" customHeight="1">
      <c r="A208" s="19" t="s">
        <v>482</v>
      </c>
      <c r="B208" s="20" t="s">
        <v>1253</v>
      </c>
      <c r="C208" s="21">
        <v>9781441979308</v>
      </c>
      <c r="D208" s="22" t="s">
        <v>480</v>
      </c>
      <c r="E208" s="23" t="str">
        <f>HYPERLINK("http://www.springer.com/gp/book/9781441979308","Microbes and Microbial Technology")</f>
        <v>Microbes and Microbial Technology</v>
      </c>
      <c r="F208" s="24">
        <v>2011</v>
      </c>
      <c r="G208" s="25" t="s">
        <v>957</v>
      </c>
      <c r="H208" s="70">
        <v>213.66</v>
      </c>
      <c r="I208" s="26">
        <v>25</v>
      </c>
      <c r="J208" s="68">
        <v>160.25</v>
      </c>
      <c r="K208" s="84">
        <v>184.99</v>
      </c>
      <c r="L208" s="85" t="s">
        <v>958</v>
      </c>
      <c r="M208" s="27" t="s">
        <v>977</v>
      </c>
      <c r="N208" s="25"/>
      <c r="O208" s="20" t="s">
        <v>10</v>
      </c>
      <c r="P208" s="25" t="s">
        <v>481</v>
      </c>
      <c r="Q208" s="25"/>
    </row>
    <row r="209" spans="1:17" ht="13.5" customHeight="1">
      <c r="A209" s="19" t="s">
        <v>482</v>
      </c>
      <c r="B209" s="20" t="s">
        <v>1251</v>
      </c>
      <c r="C209" s="21">
        <v>9781402061011</v>
      </c>
      <c r="D209" s="22" t="s">
        <v>492</v>
      </c>
      <c r="E209" s="23" t="str">
        <f>HYPERLINK("http://www.springer.com/gp/book/9781402061011","Risk Assessment of Chemicals: An Introduction")</f>
        <v>Risk Assessment of Chemicals: An Introduction</v>
      </c>
      <c r="F209" s="24">
        <v>2007</v>
      </c>
      <c r="G209" s="25" t="s">
        <v>957</v>
      </c>
      <c r="H209" s="70">
        <v>190.52</v>
      </c>
      <c r="I209" s="26">
        <v>30</v>
      </c>
      <c r="J209" s="68">
        <v>133.36</v>
      </c>
      <c r="K209" s="84">
        <v>164.95</v>
      </c>
      <c r="L209" s="85" t="s">
        <v>958</v>
      </c>
      <c r="M209" s="27" t="s">
        <v>977</v>
      </c>
      <c r="N209" s="25" t="s">
        <v>1061</v>
      </c>
      <c r="O209" s="20" t="s">
        <v>22</v>
      </c>
      <c r="P209" s="25"/>
      <c r="Q209" s="25"/>
    </row>
    <row r="210" spans="1:17" ht="13.5" customHeight="1">
      <c r="A210" s="19" t="s">
        <v>482</v>
      </c>
      <c r="B210" s="20" t="s">
        <v>1251</v>
      </c>
      <c r="C210" s="21">
        <v>9783540879619</v>
      </c>
      <c r="D210" s="22" t="s">
        <v>489</v>
      </c>
      <c r="E210" s="23" t="str">
        <f>HYPERLINK("http://www.springer.com/gp/book/9783540879619","Environmental Consequences of War and Aftermath")</f>
        <v>Environmental Consequences of War and Aftermath</v>
      </c>
      <c r="F210" s="24">
        <v>2009</v>
      </c>
      <c r="G210" s="25" t="s">
        <v>957</v>
      </c>
      <c r="H210" s="70">
        <v>367.22</v>
      </c>
      <c r="I210" s="26">
        <v>25</v>
      </c>
      <c r="J210" s="68">
        <v>275.42</v>
      </c>
      <c r="K210" s="84">
        <v>321</v>
      </c>
      <c r="L210" s="85" t="s">
        <v>958</v>
      </c>
      <c r="M210" s="27" t="s">
        <v>977</v>
      </c>
      <c r="N210" s="25"/>
      <c r="O210" s="20" t="s">
        <v>64</v>
      </c>
      <c r="P210" s="25"/>
      <c r="Q210" s="25" t="s">
        <v>490</v>
      </c>
    </row>
    <row r="211" spans="1:17" ht="13.5" customHeight="1">
      <c r="A211" s="19" t="s">
        <v>482</v>
      </c>
      <c r="B211" s="20" t="s">
        <v>1251</v>
      </c>
      <c r="C211" s="21">
        <v>9789400738331</v>
      </c>
      <c r="D211" s="22" t="s">
        <v>488</v>
      </c>
      <c r="E211" s="23" t="str">
        <f>HYPERLINK("http://www.springer.com/gp/book/9789400738331","Sustainability in the Chemical Industry")</f>
        <v>Sustainability in the Chemical Industry</v>
      </c>
      <c r="F211" s="24">
        <v>2012</v>
      </c>
      <c r="G211" s="25" t="s">
        <v>957</v>
      </c>
      <c r="H211" s="70">
        <v>150.14</v>
      </c>
      <c r="I211" s="26">
        <v>20</v>
      </c>
      <c r="J211" s="68">
        <v>120.11</v>
      </c>
      <c r="K211" s="84">
        <v>129.99</v>
      </c>
      <c r="L211" s="85" t="s">
        <v>958</v>
      </c>
      <c r="M211" s="27" t="s">
        <v>977</v>
      </c>
      <c r="N211" s="25"/>
      <c r="O211" s="20" t="s">
        <v>3</v>
      </c>
      <c r="P211" s="25"/>
      <c r="Q211" s="25" t="s">
        <v>362</v>
      </c>
    </row>
    <row r="212" spans="1:17" ht="13.5" customHeight="1">
      <c r="A212" s="19" t="s">
        <v>482</v>
      </c>
      <c r="B212" s="20" t="s">
        <v>1230</v>
      </c>
      <c r="C212" s="21">
        <v>9783540684893</v>
      </c>
      <c r="D212" s="22" t="s">
        <v>493</v>
      </c>
      <c r="E212" s="23" t="str">
        <f>HYPERLINK("http://www.springer.com/gp/book/9783540684893","Modelling Environmental Dynamics")</f>
        <v>Modelling Environmental Dynamics</v>
      </c>
      <c r="F212" s="24">
        <v>2008</v>
      </c>
      <c r="G212" s="25" t="s">
        <v>957</v>
      </c>
      <c r="H212" s="70">
        <v>225.21</v>
      </c>
      <c r="I212" s="26">
        <v>25</v>
      </c>
      <c r="J212" s="68">
        <v>168.91</v>
      </c>
      <c r="K212" s="84">
        <v>194.99</v>
      </c>
      <c r="L212" s="85" t="s">
        <v>958</v>
      </c>
      <c r="M212" s="27" t="s">
        <v>977</v>
      </c>
      <c r="N212" s="25"/>
      <c r="O212" s="20" t="s">
        <v>3</v>
      </c>
      <c r="P212" s="25" t="s">
        <v>494</v>
      </c>
      <c r="Q212" s="25" t="s">
        <v>305</v>
      </c>
    </row>
    <row r="213" spans="1:17" ht="13.5" customHeight="1">
      <c r="A213" s="19" t="s">
        <v>482</v>
      </c>
      <c r="B213" s="20" t="s">
        <v>1230</v>
      </c>
      <c r="C213" s="21">
        <v>9783642205668</v>
      </c>
      <c r="D213" s="22" t="s">
        <v>292</v>
      </c>
      <c r="E213" s="23" t="str">
        <f>HYPERLINK("http://www.springer.com/gp/book/9783642205668","Information Technologies for Remote Monitoring of the Environment")</f>
        <v>Information Technologies for Remote Monitoring of the Environment</v>
      </c>
      <c r="F213" s="24">
        <v>2012</v>
      </c>
      <c r="G213" s="25" t="s">
        <v>957</v>
      </c>
      <c r="H213" s="70">
        <v>196.34</v>
      </c>
      <c r="I213" s="26">
        <v>20</v>
      </c>
      <c r="J213" s="68">
        <v>157.07</v>
      </c>
      <c r="K213" s="84">
        <v>169.99</v>
      </c>
      <c r="L213" s="85" t="s">
        <v>958</v>
      </c>
      <c r="M213" s="27" t="s">
        <v>977</v>
      </c>
      <c r="N213" s="25"/>
      <c r="O213" s="20" t="s">
        <v>3</v>
      </c>
      <c r="P213" s="25"/>
      <c r="Q213" s="25" t="s">
        <v>491</v>
      </c>
    </row>
    <row r="214" spans="1:17" ht="13.5" customHeight="1">
      <c r="A214" s="19" t="s">
        <v>482</v>
      </c>
      <c r="B214" s="20" t="s">
        <v>1252</v>
      </c>
      <c r="C214" s="21">
        <v>9781402085918</v>
      </c>
      <c r="D214" s="22" t="s">
        <v>487</v>
      </c>
      <c r="E214" s="23" t="str">
        <f>HYPERLINK("http://www.springer.com/gp/book/9781402085918","Digital Soil Mapping with Limited Data")</f>
        <v>Digital Soil Mapping with Limited Data</v>
      </c>
      <c r="F214" s="24">
        <v>2008</v>
      </c>
      <c r="G214" s="25" t="s">
        <v>957</v>
      </c>
      <c r="H214" s="70">
        <v>150.14</v>
      </c>
      <c r="I214" s="26">
        <v>25</v>
      </c>
      <c r="J214" s="68">
        <v>112.61</v>
      </c>
      <c r="K214" s="84">
        <v>129.99</v>
      </c>
      <c r="L214" s="85" t="s">
        <v>958</v>
      </c>
      <c r="M214" s="27" t="s">
        <v>977</v>
      </c>
      <c r="N214" s="25"/>
      <c r="O214" s="20" t="s">
        <v>3</v>
      </c>
      <c r="P214" s="25"/>
      <c r="Q214" s="25"/>
    </row>
    <row r="215" spans="1:17" ht="13.5" customHeight="1">
      <c r="A215" s="19" t="s">
        <v>482</v>
      </c>
      <c r="B215" s="20" t="s">
        <v>1231</v>
      </c>
      <c r="C215" s="21">
        <v>9789400748774</v>
      </c>
      <c r="D215" s="22" t="s">
        <v>485</v>
      </c>
      <c r="E215" s="23" t="str">
        <f>HYPERLINK("http://www.springer.com/gp/book/9789400748774","Sustainable Development")</f>
        <v>Sustainable Development</v>
      </c>
      <c r="F215" s="24">
        <v>2013</v>
      </c>
      <c r="G215" s="25" t="s">
        <v>957</v>
      </c>
      <c r="H215" s="70">
        <v>132.81</v>
      </c>
      <c r="I215" s="26">
        <v>20</v>
      </c>
      <c r="J215" s="68">
        <v>106.25</v>
      </c>
      <c r="K215" s="84">
        <v>114.99</v>
      </c>
      <c r="L215" s="85" t="s">
        <v>958</v>
      </c>
      <c r="M215" s="27" t="s">
        <v>977</v>
      </c>
      <c r="N215" s="25"/>
      <c r="O215" s="20" t="s">
        <v>3</v>
      </c>
      <c r="P215" s="25" t="s">
        <v>486</v>
      </c>
      <c r="Q215" s="25"/>
    </row>
    <row r="216" spans="1:17" ht="13.5" customHeight="1">
      <c r="A216" s="19" t="s">
        <v>498</v>
      </c>
      <c r="B216" s="20" t="s">
        <v>1138</v>
      </c>
      <c r="C216" s="21">
        <v>9783790820492</v>
      </c>
      <c r="D216" s="22" t="s">
        <v>496</v>
      </c>
      <c r="E216" s="23" t="str">
        <f>HYPERLINK("http://www.springer.com/gp/book/9783790820492","Risk Assessment")</f>
        <v>Risk Assessment</v>
      </c>
      <c r="F216" s="24">
        <v>2009</v>
      </c>
      <c r="G216" s="25" t="s">
        <v>957</v>
      </c>
      <c r="H216" s="70">
        <v>150.14</v>
      </c>
      <c r="I216" s="26">
        <v>25</v>
      </c>
      <c r="J216" s="68">
        <v>112.61</v>
      </c>
      <c r="K216" s="84">
        <v>129.99</v>
      </c>
      <c r="L216" s="85" t="s">
        <v>958</v>
      </c>
      <c r="M216" s="27" t="s">
        <v>977</v>
      </c>
      <c r="N216" s="25"/>
      <c r="O216" s="20" t="s">
        <v>213</v>
      </c>
      <c r="P216" s="25" t="s">
        <v>497</v>
      </c>
      <c r="Q216" s="25" t="s">
        <v>499</v>
      </c>
    </row>
    <row r="217" spans="1:17" ht="13.5" customHeight="1">
      <c r="A217" s="19" t="s">
        <v>498</v>
      </c>
      <c r="B217" s="20" t="s">
        <v>1138</v>
      </c>
      <c r="C217" s="21">
        <v>9783642322310</v>
      </c>
      <c r="D217" s="22" t="s">
        <v>500</v>
      </c>
      <c r="E217" s="23" t="str">
        <f>HYPERLINK("http://www.springer.com/gp/book/9783642322310","Financial Analysis and Risk Management")</f>
        <v>Financial Analysis and Risk Management</v>
      </c>
      <c r="F217" s="24">
        <v>2013</v>
      </c>
      <c r="G217" s="25" t="s">
        <v>957</v>
      </c>
      <c r="H217" s="70">
        <v>161.69</v>
      </c>
      <c r="I217" s="26">
        <v>20</v>
      </c>
      <c r="J217" s="68">
        <v>129.35</v>
      </c>
      <c r="K217" s="84">
        <v>139.99</v>
      </c>
      <c r="L217" s="85" t="s">
        <v>958</v>
      </c>
      <c r="M217" s="27" t="s">
        <v>977</v>
      </c>
      <c r="N217" s="25"/>
      <c r="O217" s="20" t="s">
        <v>10</v>
      </c>
      <c r="P217" s="25" t="s">
        <v>501</v>
      </c>
      <c r="Q217" s="25"/>
    </row>
    <row r="218" spans="1:17" ht="13.5" customHeight="1">
      <c r="A218" s="19" t="s">
        <v>503</v>
      </c>
      <c r="B218" s="20" t="s">
        <v>1144</v>
      </c>
      <c r="C218" s="21">
        <v>9783540711001</v>
      </c>
      <c r="D218" s="22" t="s">
        <v>502</v>
      </c>
      <c r="E218" s="23" t="str">
        <f>HYPERLINK("http://www.springer.com/gp/book/9783540711001","Diplomacy and International Law in Globalized Relations")</f>
        <v>Diplomacy and International Law in Globalized Relations</v>
      </c>
      <c r="F218" s="24">
        <v>2007</v>
      </c>
      <c r="G218" s="25" t="s">
        <v>957</v>
      </c>
      <c r="H218" s="70">
        <v>94.59</v>
      </c>
      <c r="I218" s="26">
        <v>30</v>
      </c>
      <c r="J218" s="68">
        <v>66.21</v>
      </c>
      <c r="K218" s="84">
        <v>79.99</v>
      </c>
      <c r="L218" s="85" t="s">
        <v>958</v>
      </c>
      <c r="M218" s="27" t="s">
        <v>977</v>
      </c>
      <c r="N218" s="25"/>
      <c r="O218" s="20" t="s">
        <v>3</v>
      </c>
      <c r="P218" s="25"/>
      <c r="Q218" s="25"/>
    </row>
    <row r="219" spans="1:17" ht="13.5" customHeight="1">
      <c r="A219" s="19" t="s">
        <v>505</v>
      </c>
      <c r="B219" s="20" t="s">
        <v>1320</v>
      </c>
      <c r="C219" s="21">
        <v>9783540371090</v>
      </c>
      <c r="D219" s="22" t="s">
        <v>528</v>
      </c>
      <c r="E219" s="23" t="str">
        <f>HYPERLINK("http://www.springer.com/gp/book/9783540371090","Map-based Mobile Services")</f>
        <v>Map-based Mobile Services</v>
      </c>
      <c r="F219" s="24">
        <v>2008</v>
      </c>
      <c r="G219" s="25" t="s">
        <v>957</v>
      </c>
      <c r="H219" s="70">
        <v>225.21</v>
      </c>
      <c r="I219" s="26">
        <v>25</v>
      </c>
      <c r="J219" s="68">
        <v>168.91</v>
      </c>
      <c r="K219" s="84">
        <v>194.99</v>
      </c>
      <c r="L219" s="85" t="s">
        <v>958</v>
      </c>
      <c r="M219" s="27" t="s">
        <v>977</v>
      </c>
      <c r="N219" s="25"/>
      <c r="O219" s="20" t="s">
        <v>3</v>
      </c>
      <c r="P219" s="25" t="s">
        <v>529</v>
      </c>
      <c r="Q219" s="25" t="s">
        <v>511</v>
      </c>
    </row>
    <row r="220" spans="1:17" s="6" customFormat="1" ht="13.5" customHeight="1">
      <c r="A220" s="19" t="s">
        <v>505</v>
      </c>
      <c r="B220" s="20" t="s">
        <v>1320</v>
      </c>
      <c r="C220" s="21">
        <v>9783540720287</v>
      </c>
      <c r="D220" s="22" t="s">
        <v>532</v>
      </c>
      <c r="E220" s="23" t="str">
        <f>HYPERLINK("http://www.springer.com/gp/book/9783540720287","International Perspectives on Maps and the Internet")</f>
        <v>International Perspectives on Maps and the Internet</v>
      </c>
      <c r="F220" s="24">
        <v>2008</v>
      </c>
      <c r="G220" s="25" t="s">
        <v>957</v>
      </c>
      <c r="H220" s="70">
        <v>225.21</v>
      </c>
      <c r="I220" s="26">
        <v>25</v>
      </c>
      <c r="J220" s="68">
        <v>168.91</v>
      </c>
      <c r="K220" s="84">
        <v>194.99</v>
      </c>
      <c r="L220" s="85" t="s">
        <v>958</v>
      </c>
      <c r="M220" s="27" t="s">
        <v>977</v>
      </c>
      <c r="N220" s="25"/>
      <c r="O220" s="20" t="s">
        <v>3</v>
      </c>
      <c r="P220" s="25"/>
      <c r="Q220" s="25" t="s">
        <v>511</v>
      </c>
    </row>
    <row r="221" spans="1:17" ht="13.5" customHeight="1">
      <c r="A221" s="19" t="s">
        <v>505</v>
      </c>
      <c r="B221" s="20" t="s">
        <v>1320</v>
      </c>
      <c r="C221" s="21">
        <v>9783540777991</v>
      </c>
      <c r="D221" s="22" t="s">
        <v>275</v>
      </c>
      <c r="E221" s="23" t="str">
        <f>HYPERLINK("http://www.springer.com/gp/book/9783540777991","Advances in Digital Terrain Analysis")</f>
        <v>Advances in Digital Terrain Analysis</v>
      </c>
      <c r="F221" s="24">
        <v>2008</v>
      </c>
      <c r="G221" s="25" t="s">
        <v>957</v>
      </c>
      <c r="H221" s="70">
        <v>225.21</v>
      </c>
      <c r="I221" s="26">
        <v>25</v>
      </c>
      <c r="J221" s="68">
        <v>168.91</v>
      </c>
      <c r="K221" s="84">
        <v>194.99</v>
      </c>
      <c r="L221" s="85" t="s">
        <v>958</v>
      </c>
      <c r="M221" s="27" t="s">
        <v>977</v>
      </c>
      <c r="N221" s="25"/>
      <c r="O221" s="20" t="s">
        <v>3</v>
      </c>
      <c r="P221" s="25"/>
      <c r="Q221" s="25" t="s">
        <v>511</v>
      </c>
    </row>
    <row r="222" spans="1:17" s="6" customFormat="1" ht="13.5" customHeight="1">
      <c r="A222" s="19" t="s">
        <v>505</v>
      </c>
      <c r="B222" s="20" t="s">
        <v>1320</v>
      </c>
      <c r="C222" s="21">
        <v>9783540789451</v>
      </c>
      <c r="D222" s="22" t="s">
        <v>509</v>
      </c>
      <c r="E222" s="23" t="str">
        <f>HYPERLINK("http://www.springer.com/gp/book/9783540789451","The European Information Society")</f>
        <v>The European Information Society</v>
      </c>
      <c r="F222" s="24">
        <v>2008</v>
      </c>
      <c r="G222" s="25" t="s">
        <v>957</v>
      </c>
      <c r="H222" s="70">
        <v>225.21</v>
      </c>
      <c r="I222" s="26">
        <v>25</v>
      </c>
      <c r="J222" s="68">
        <v>168.91</v>
      </c>
      <c r="K222" s="84">
        <v>194.99</v>
      </c>
      <c r="L222" s="85" t="s">
        <v>958</v>
      </c>
      <c r="M222" s="27" t="s">
        <v>977</v>
      </c>
      <c r="N222" s="25"/>
      <c r="O222" s="20" t="s">
        <v>3</v>
      </c>
      <c r="P222" s="25" t="s">
        <v>510</v>
      </c>
      <c r="Q222" s="25" t="s">
        <v>511</v>
      </c>
    </row>
    <row r="223" spans="1:17" s="6" customFormat="1" ht="13.5" customHeight="1">
      <c r="A223" s="19" t="s">
        <v>505</v>
      </c>
      <c r="B223" s="20" t="s">
        <v>1320</v>
      </c>
      <c r="C223" s="21">
        <v>9783540709671</v>
      </c>
      <c r="D223" s="22" t="s">
        <v>530</v>
      </c>
      <c r="E223" s="23" t="str">
        <f>HYPERLINK("http://www.springer.com/gp/book/9783540709671","Geospatial Vision")</f>
        <v>Geospatial Vision</v>
      </c>
      <c r="F223" s="24">
        <v>2008</v>
      </c>
      <c r="G223" s="25" t="s">
        <v>957</v>
      </c>
      <c r="H223" s="70">
        <v>258.72</v>
      </c>
      <c r="I223" s="26">
        <v>25</v>
      </c>
      <c r="J223" s="68">
        <v>194.04</v>
      </c>
      <c r="K223" s="84">
        <v>224</v>
      </c>
      <c r="L223" s="85" t="s">
        <v>958</v>
      </c>
      <c r="M223" s="27" t="s">
        <v>977</v>
      </c>
      <c r="N223" s="25"/>
      <c r="O223" s="20" t="s">
        <v>3</v>
      </c>
      <c r="P223" s="25" t="s">
        <v>531</v>
      </c>
      <c r="Q223" s="25" t="s">
        <v>511</v>
      </c>
    </row>
    <row r="224" spans="1:17" ht="13.5" customHeight="1">
      <c r="A224" s="19" t="s">
        <v>505</v>
      </c>
      <c r="B224" s="20" t="s">
        <v>1320</v>
      </c>
      <c r="C224" s="21">
        <v>9783540691679</v>
      </c>
      <c r="D224" s="22" t="s">
        <v>533</v>
      </c>
      <c r="E224" s="23" t="str">
        <f>HYPERLINK("http://www.springer.com/gp/book/9783540691679","Landscape Analysis and Visualisation")</f>
        <v>Landscape Analysis and Visualisation</v>
      </c>
      <c r="F224" s="24">
        <v>2008</v>
      </c>
      <c r="G224" s="25" t="s">
        <v>957</v>
      </c>
      <c r="H224" s="70">
        <v>299.15</v>
      </c>
      <c r="I224" s="26">
        <v>25</v>
      </c>
      <c r="J224" s="68">
        <v>224.36</v>
      </c>
      <c r="K224" s="84">
        <v>259</v>
      </c>
      <c r="L224" s="85" t="s">
        <v>958</v>
      </c>
      <c r="M224" s="27" t="s">
        <v>977</v>
      </c>
      <c r="N224" s="25"/>
      <c r="O224" s="20" t="s">
        <v>3</v>
      </c>
      <c r="P224" s="25" t="s">
        <v>534</v>
      </c>
      <c r="Q224" s="25" t="s">
        <v>511</v>
      </c>
    </row>
    <row r="225" spans="1:17" ht="13.5" customHeight="1">
      <c r="A225" s="19" t="s">
        <v>505</v>
      </c>
      <c r="B225" s="20" t="s">
        <v>1320</v>
      </c>
      <c r="C225" s="21">
        <v>9783540685654</v>
      </c>
      <c r="D225" s="22" t="s">
        <v>535</v>
      </c>
      <c r="E225" s="23" t="str">
        <f>HYPERLINK("http://www.springer.com/gp/book/9783540685654","Headway in Spatial Data Handling")</f>
        <v>Headway in Spatial Data Handling</v>
      </c>
      <c r="F225" s="24">
        <v>2008</v>
      </c>
      <c r="G225" s="25" t="s">
        <v>957</v>
      </c>
      <c r="H225" s="70">
        <v>364.94</v>
      </c>
      <c r="I225" s="26">
        <v>25</v>
      </c>
      <c r="J225" s="68">
        <v>273.71</v>
      </c>
      <c r="K225" s="84">
        <v>319</v>
      </c>
      <c r="L225" s="85" t="s">
        <v>958</v>
      </c>
      <c r="M225" s="27" t="s">
        <v>977</v>
      </c>
      <c r="N225" s="25"/>
      <c r="O225" s="20" t="s">
        <v>213</v>
      </c>
      <c r="P225" s="25" t="s">
        <v>536</v>
      </c>
      <c r="Q225" s="25" t="s">
        <v>511</v>
      </c>
    </row>
    <row r="226" spans="1:17" ht="13.5" customHeight="1">
      <c r="A226" s="19" t="s">
        <v>505</v>
      </c>
      <c r="B226" s="20" t="s">
        <v>1320</v>
      </c>
      <c r="C226" s="21">
        <v>9783642158612</v>
      </c>
      <c r="D226" s="22" t="s">
        <v>526</v>
      </c>
      <c r="E226" s="23" t="str">
        <f>HYPERLINK("http://www.springer.com/gp/book/9783642158612","Geoinformation Metadata in INSPIRE and SDI")</f>
        <v>Geoinformation Metadata in INSPIRE and SDI</v>
      </c>
      <c r="F226" s="24">
        <v>2011</v>
      </c>
      <c r="G226" s="25" t="s">
        <v>957</v>
      </c>
      <c r="H226" s="70">
        <v>150.14</v>
      </c>
      <c r="I226" s="26">
        <v>25</v>
      </c>
      <c r="J226" s="68">
        <v>112.61</v>
      </c>
      <c r="K226" s="84">
        <v>129.99</v>
      </c>
      <c r="L226" s="85" t="s">
        <v>958</v>
      </c>
      <c r="M226" s="27" t="s">
        <v>977</v>
      </c>
      <c r="N226" s="25"/>
      <c r="O226" s="20" t="s">
        <v>3</v>
      </c>
      <c r="P226" s="25" t="s">
        <v>527</v>
      </c>
      <c r="Q226" s="25" t="s">
        <v>511</v>
      </c>
    </row>
    <row r="227" spans="1:17" ht="13.5" customHeight="1">
      <c r="A227" s="19" t="s">
        <v>505</v>
      </c>
      <c r="B227" s="20" t="s">
        <v>1320</v>
      </c>
      <c r="C227" s="21">
        <v>9783642126697</v>
      </c>
      <c r="D227" s="22" t="s">
        <v>522</v>
      </c>
      <c r="E227" s="23" t="str">
        <f>HYPERLINK("http://www.springer.com/gp/book/9783642126697","Advances in 3D Geo-Information Sciences")</f>
        <v>Advances in 3D Geo-Information Sciences</v>
      </c>
      <c r="F227" s="24">
        <v>2011</v>
      </c>
      <c r="G227" s="25" t="s">
        <v>957</v>
      </c>
      <c r="H227" s="70">
        <v>225.21</v>
      </c>
      <c r="I227" s="26">
        <v>25</v>
      </c>
      <c r="J227" s="68">
        <v>168.91</v>
      </c>
      <c r="K227" s="84">
        <v>194.99</v>
      </c>
      <c r="L227" s="85" t="s">
        <v>958</v>
      </c>
      <c r="M227" s="27" t="s">
        <v>977</v>
      </c>
      <c r="N227" s="25"/>
      <c r="O227" s="20" t="s">
        <v>3</v>
      </c>
      <c r="P227" s="25"/>
      <c r="Q227" s="25" t="s">
        <v>511</v>
      </c>
    </row>
    <row r="228" spans="1:17" ht="13.5" customHeight="1">
      <c r="A228" s="19" t="s">
        <v>505</v>
      </c>
      <c r="B228" s="20" t="s">
        <v>1320</v>
      </c>
      <c r="C228" s="21">
        <v>9783642195211</v>
      </c>
      <c r="D228" s="22" t="s">
        <v>541</v>
      </c>
      <c r="E228" s="23" t="str">
        <f>HYPERLINK("http://www.springer.com/gp/book/9783642195211","Maps for the Future")</f>
        <v>Maps for the Future</v>
      </c>
      <c r="F228" s="24">
        <v>2012</v>
      </c>
      <c r="G228" s="25" t="s">
        <v>957</v>
      </c>
      <c r="H228" s="70">
        <v>150.14</v>
      </c>
      <c r="I228" s="26">
        <v>20</v>
      </c>
      <c r="J228" s="68">
        <v>120.11</v>
      </c>
      <c r="K228" s="84">
        <v>129.99</v>
      </c>
      <c r="L228" s="85" t="s">
        <v>958</v>
      </c>
      <c r="M228" s="27" t="s">
        <v>977</v>
      </c>
      <c r="N228" s="25"/>
      <c r="O228" s="20" t="s">
        <v>3</v>
      </c>
      <c r="P228" s="25" t="s">
        <v>542</v>
      </c>
      <c r="Q228" s="25" t="s">
        <v>543</v>
      </c>
    </row>
    <row r="229" spans="1:17" ht="13.5" customHeight="1">
      <c r="A229" s="19" t="s">
        <v>505</v>
      </c>
      <c r="B229" s="20" t="s">
        <v>1320</v>
      </c>
      <c r="C229" s="21">
        <v>9783642274848</v>
      </c>
      <c r="D229" s="22" t="s">
        <v>532</v>
      </c>
      <c r="E229" s="23" t="str">
        <f>HYPERLINK("http://www.springer.com/gp/book/9783642274848","Online Maps with APIs and WebServices")</f>
        <v>Online Maps with APIs and WebServices</v>
      </c>
      <c r="F229" s="24">
        <v>2012</v>
      </c>
      <c r="G229" s="25" t="s">
        <v>957</v>
      </c>
      <c r="H229" s="70">
        <v>150.14</v>
      </c>
      <c r="I229" s="26">
        <v>20</v>
      </c>
      <c r="J229" s="68">
        <v>120.11</v>
      </c>
      <c r="K229" s="84">
        <v>129.99</v>
      </c>
      <c r="L229" s="85" t="s">
        <v>958</v>
      </c>
      <c r="M229" s="27" t="s">
        <v>977</v>
      </c>
      <c r="N229" s="25"/>
      <c r="O229" s="20" t="s">
        <v>3</v>
      </c>
      <c r="P229" s="25"/>
      <c r="Q229" s="25" t="s">
        <v>511</v>
      </c>
    </row>
    <row r="230" spans="1:17" ht="13.5" customHeight="1">
      <c r="A230" s="19" t="s">
        <v>505</v>
      </c>
      <c r="B230" s="20" t="s">
        <v>1320</v>
      </c>
      <c r="C230" s="21">
        <v>9783642105944</v>
      </c>
      <c r="D230" s="22" t="s">
        <v>512</v>
      </c>
      <c r="E230" s="23" t="str">
        <f>HYPERLINK("http://www.springer.com/gp/book/9783642105944","Geospatial Free and Open Source Software in the 21st Century")</f>
        <v>Geospatial Free and Open Source Software in the 21st Century</v>
      </c>
      <c r="F230" s="24">
        <v>2012</v>
      </c>
      <c r="G230" s="25" t="s">
        <v>957</v>
      </c>
      <c r="H230" s="70">
        <v>173.24</v>
      </c>
      <c r="I230" s="26">
        <v>20</v>
      </c>
      <c r="J230" s="68">
        <v>138.59</v>
      </c>
      <c r="K230" s="84">
        <v>149.99</v>
      </c>
      <c r="L230" s="85" t="s">
        <v>958</v>
      </c>
      <c r="M230" s="27" t="s">
        <v>977</v>
      </c>
      <c r="N230" s="25"/>
      <c r="O230" s="20" t="s">
        <v>3</v>
      </c>
      <c r="P230" s="25"/>
      <c r="Q230" s="25" t="s">
        <v>511</v>
      </c>
    </row>
    <row r="231" spans="1:17" ht="13.5" customHeight="1">
      <c r="A231" s="19" t="s">
        <v>505</v>
      </c>
      <c r="B231" s="20" t="s">
        <v>1320</v>
      </c>
      <c r="C231" s="21">
        <v>9783642122712</v>
      </c>
      <c r="D231" s="22" t="s">
        <v>513</v>
      </c>
      <c r="E231" s="23" t="str">
        <f>HYPERLINK("http://www.springer.com/gp/book/9783642122712","True-3D in Cartography")</f>
        <v>True-3D in Cartography</v>
      </c>
      <c r="F231" s="24">
        <v>2012</v>
      </c>
      <c r="G231" s="25" t="s">
        <v>957</v>
      </c>
      <c r="H231" s="70">
        <v>276.05</v>
      </c>
      <c r="I231" s="26">
        <v>20</v>
      </c>
      <c r="J231" s="68">
        <v>220.84</v>
      </c>
      <c r="K231" s="84">
        <v>239</v>
      </c>
      <c r="L231" s="85" t="s">
        <v>958</v>
      </c>
      <c r="M231" s="27" t="s">
        <v>977</v>
      </c>
      <c r="N231" s="25"/>
      <c r="O231" s="20" t="s">
        <v>3</v>
      </c>
      <c r="P231" s="25" t="s">
        <v>514</v>
      </c>
      <c r="Q231" s="25" t="s">
        <v>511</v>
      </c>
    </row>
    <row r="232" spans="1:17" ht="13.5" customHeight="1">
      <c r="A232" s="19" t="s">
        <v>505</v>
      </c>
      <c r="B232" s="20" t="s">
        <v>1323</v>
      </c>
      <c r="C232" s="21">
        <v>9781402088940</v>
      </c>
      <c r="D232" s="22" t="s">
        <v>537</v>
      </c>
      <c r="E232" s="23" t="str">
        <f>HYPERLINK("http://www.springer.com/gp/book/9781402088940","Physics and Modelling of Wind Erosion")</f>
        <v>Physics and Modelling of Wind Erosion</v>
      </c>
      <c r="F232" s="24">
        <v>2008</v>
      </c>
      <c r="G232" s="25" t="s">
        <v>957</v>
      </c>
      <c r="H232" s="70">
        <v>225.17</v>
      </c>
      <c r="I232" s="26">
        <v>25</v>
      </c>
      <c r="J232" s="68">
        <v>168.88</v>
      </c>
      <c r="K232" s="84">
        <v>194.95</v>
      </c>
      <c r="L232" s="85" t="s">
        <v>958</v>
      </c>
      <c r="M232" s="27" t="s">
        <v>977</v>
      </c>
      <c r="N232" s="25" t="s">
        <v>1061</v>
      </c>
      <c r="O232" s="20" t="s">
        <v>3</v>
      </c>
      <c r="P232" s="25"/>
      <c r="Q232" s="25" t="s">
        <v>538</v>
      </c>
    </row>
    <row r="233" spans="1:17" ht="13.5" customHeight="1">
      <c r="A233" s="19" t="s">
        <v>505</v>
      </c>
      <c r="B233" s="20" t="s">
        <v>1322</v>
      </c>
      <c r="C233" s="21">
        <v>9784431781486</v>
      </c>
      <c r="D233" s="22" t="s">
        <v>519</v>
      </c>
      <c r="E233" s="23" t="str">
        <f>HYPERLINK("http://www.springer.com/gp/book/9784431781486","Vulnerable Cities:")</f>
        <v>Vulnerable Cities:</v>
      </c>
      <c r="F233" s="24">
        <v>2008</v>
      </c>
      <c r="G233" s="25" t="s">
        <v>957</v>
      </c>
      <c r="H233" s="70">
        <v>121.26</v>
      </c>
      <c r="I233" s="26">
        <v>25</v>
      </c>
      <c r="J233" s="68">
        <v>90.95</v>
      </c>
      <c r="K233" s="84">
        <v>104.99</v>
      </c>
      <c r="L233" s="85" t="s">
        <v>958</v>
      </c>
      <c r="M233" s="27" t="s">
        <v>977</v>
      </c>
      <c r="N233" s="25"/>
      <c r="O233" s="20" t="s">
        <v>3</v>
      </c>
      <c r="P233" s="25" t="s">
        <v>520</v>
      </c>
      <c r="Q233" s="25" t="s">
        <v>521</v>
      </c>
    </row>
    <row r="234" spans="1:17" ht="13.5" customHeight="1">
      <c r="A234" s="19" t="s">
        <v>505</v>
      </c>
      <c r="B234" s="20" t="s">
        <v>1322</v>
      </c>
      <c r="C234" s="21">
        <v>9783540792437</v>
      </c>
      <c r="D234" s="22" t="s">
        <v>523</v>
      </c>
      <c r="E234" s="23" t="str">
        <f>HYPERLINK("http://www.springer.com/gp/book/9783540792437","Cross-border Governance and Sustainable Spatial Development")</f>
        <v>Cross-border Governance and Sustainable Spatial Development</v>
      </c>
      <c r="F234" s="24">
        <v>2008</v>
      </c>
      <c r="G234" s="25" t="s">
        <v>957</v>
      </c>
      <c r="H234" s="70">
        <v>173.24</v>
      </c>
      <c r="I234" s="26">
        <v>25</v>
      </c>
      <c r="J234" s="68">
        <v>129.93</v>
      </c>
      <c r="K234" s="84">
        <v>149.99</v>
      </c>
      <c r="L234" s="85" t="s">
        <v>958</v>
      </c>
      <c r="M234" s="27" t="s">
        <v>977</v>
      </c>
      <c r="N234" s="25"/>
      <c r="O234" s="20" t="s">
        <v>3</v>
      </c>
      <c r="P234" s="25" t="s">
        <v>524</v>
      </c>
      <c r="Q234" s="25" t="s">
        <v>525</v>
      </c>
    </row>
    <row r="235" spans="1:17" s="6" customFormat="1" ht="13.5" customHeight="1">
      <c r="A235" s="19" t="s">
        <v>505</v>
      </c>
      <c r="B235" s="20" t="s">
        <v>1322</v>
      </c>
      <c r="C235" s="21">
        <v>9783540786474</v>
      </c>
      <c r="D235" s="22" t="s">
        <v>517</v>
      </c>
      <c r="E235" s="23" t="str">
        <f>HYPERLINK("http://www.springer.com/gp/book/9783540786474","Sustainability Impact Assessment of Land Use Changes")</f>
        <v>Sustainability Impact Assessment of Land Use Changes</v>
      </c>
      <c r="F235" s="24">
        <v>2008</v>
      </c>
      <c r="G235" s="25" t="s">
        <v>957</v>
      </c>
      <c r="H235" s="70">
        <v>276.05</v>
      </c>
      <c r="I235" s="26">
        <v>25</v>
      </c>
      <c r="J235" s="68">
        <v>207.04</v>
      </c>
      <c r="K235" s="84">
        <v>239</v>
      </c>
      <c r="L235" s="85" t="s">
        <v>958</v>
      </c>
      <c r="M235" s="27" t="s">
        <v>977</v>
      </c>
      <c r="N235" s="25"/>
      <c r="O235" s="20" t="s">
        <v>3</v>
      </c>
      <c r="P235" s="25"/>
      <c r="Q235" s="25"/>
    </row>
    <row r="236" spans="1:17" s="6" customFormat="1" ht="13.5" customHeight="1">
      <c r="A236" s="19" t="s">
        <v>505</v>
      </c>
      <c r="B236" s="20" t="s">
        <v>1322</v>
      </c>
      <c r="C236" s="21">
        <v>9783540764557</v>
      </c>
      <c r="D236" s="22" t="s">
        <v>515</v>
      </c>
      <c r="E236" s="23" t="str">
        <f>HYPERLINK("http://www.springer.com/gp/book/9783540764557","Encyclopedic Dictionary of Landscape and Urban Planning")</f>
        <v>Encyclopedic Dictionary of Landscape and Urban Planning</v>
      </c>
      <c r="F236" s="24">
        <v>2010</v>
      </c>
      <c r="G236" s="25" t="s">
        <v>957</v>
      </c>
      <c r="H236" s="70">
        <v>456.46</v>
      </c>
      <c r="I236" s="26">
        <v>25</v>
      </c>
      <c r="J236" s="68">
        <v>342.35</v>
      </c>
      <c r="K236" s="84">
        <v>399</v>
      </c>
      <c r="L236" s="85" t="s">
        <v>958</v>
      </c>
      <c r="M236" s="27" t="s">
        <v>977</v>
      </c>
      <c r="N236" s="25"/>
      <c r="O236" s="20" t="s">
        <v>52</v>
      </c>
      <c r="P236" s="25" t="s">
        <v>516</v>
      </c>
      <c r="Q236" s="25"/>
    </row>
    <row r="237" spans="1:17" s="6" customFormat="1" ht="13.5" customHeight="1">
      <c r="A237" s="19" t="s">
        <v>505</v>
      </c>
      <c r="B237" s="20" t="s">
        <v>1322</v>
      </c>
      <c r="C237" s="21">
        <v>9789400725171</v>
      </c>
      <c r="D237" s="22" t="s">
        <v>506</v>
      </c>
      <c r="E237" s="23" t="str">
        <f>HYPERLINK("http://www.springer.com/gp/book/9789400725171","The Future of Cities and Regions")</f>
        <v>The Future of Cities and Regions</v>
      </c>
      <c r="F237" s="24">
        <v>2012</v>
      </c>
      <c r="G237" s="25" t="s">
        <v>957</v>
      </c>
      <c r="H237" s="70">
        <v>150.14</v>
      </c>
      <c r="I237" s="26">
        <v>20</v>
      </c>
      <c r="J237" s="68">
        <v>120.11</v>
      </c>
      <c r="K237" s="84">
        <v>129.99</v>
      </c>
      <c r="L237" s="85" t="s">
        <v>958</v>
      </c>
      <c r="M237" s="27" t="s">
        <v>977</v>
      </c>
      <c r="N237" s="25"/>
      <c r="O237" s="20" t="s">
        <v>3</v>
      </c>
      <c r="P237" s="25" t="s">
        <v>507</v>
      </c>
      <c r="Q237" s="25" t="s">
        <v>508</v>
      </c>
    </row>
    <row r="238" spans="1:17" s="6" customFormat="1" ht="13.5" customHeight="1">
      <c r="A238" s="19" t="s">
        <v>505</v>
      </c>
      <c r="B238" s="20" t="s">
        <v>1322</v>
      </c>
      <c r="C238" s="21">
        <v>9789400727700</v>
      </c>
      <c r="D238" s="22" t="s">
        <v>103</v>
      </c>
      <c r="E238" s="23" t="str">
        <f>HYPERLINK("http://www.springer.com/gp/book/9789400727700","Ventilating Cities")</f>
        <v>Ventilating Cities</v>
      </c>
      <c r="F238" s="24">
        <v>2012</v>
      </c>
      <c r="G238" s="25" t="s">
        <v>957</v>
      </c>
      <c r="H238" s="70">
        <v>150.14</v>
      </c>
      <c r="I238" s="26">
        <v>20</v>
      </c>
      <c r="J238" s="68">
        <v>120.11</v>
      </c>
      <c r="K238" s="84">
        <v>129.99</v>
      </c>
      <c r="L238" s="85" t="s">
        <v>958</v>
      </c>
      <c r="M238" s="27" t="s">
        <v>977</v>
      </c>
      <c r="N238" s="25"/>
      <c r="O238" s="20" t="s">
        <v>3</v>
      </c>
      <c r="P238" s="25" t="s">
        <v>518</v>
      </c>
      <c r="Q238" s="25" t="s">
        <v>508</v>
      </c>
    </row>
    <row r="239" spans="1:17" s="6" customFormat="1" ht="13.5" customHeight="1">
      <c r="A239" s="19" t="s">
        <v>505</v>
      </c>
      <c r="B239" s="20" t="s">
        <v>1322</v>
      </c>
      <c r="C239" s="21">
        <v>9783642203138</v>
      </c>
      <c r="D239" s="22" t="s">
        <v>539</v>
      </c>
      <c r="E239" s="23" t="str">
        <f>HYPERLINK("http://www.springer.com/gp/book/9783642203138","Development of the Settlement Network in the Central European Countries")</f>
        <v>Development of the Settlement Network in the Central European Countries</v>
      </c>
      <c r="F239" s="24">
        <v>2012</v>
      </c>
      <c r="G239" s="25" t="s">
        <v>957</v>
      </c>
      <c r="H239" s="70">
        <v>252.95</v>
      </c>
      <c r="I239" s="26">
        <v>20</v>
      </c>
      <c r="J239" s="68">
        <v>202.36</v>
      </c>
      <c r="K239" s="84">
        <v>219</v>
      </c>
      <c r="L239" s="85" t="s">
        <v>958</v>
      </c>
      <c r="M239" s="27" t="s">
        <v>977</v>
      </c>
      <c r="N239" s="25"/>
      <c r="O239" s="20" t="s">
        <v>213</v>
      </c>
      <c r="P239" s="25" t="s">
        <v>540</v>
      </c>
      <c r="Q239" s="25"/>
    </row>
    <row r="240" spans="1:17" ht="13.5" customHeight="1">
      <c r="A240" s="19" t="s">
        <v>505</v>
      </c>
      <c r="B240" s="20" t="s">
        <v>1321</v>
      </c>
      <c r="C240" s="21">
        <v>9781402067716</v>
      </c>
      <c r="D240" s="22" t="s">
        <v>504</v>
      </c>
      <c r="E240" s="23" t="str">
        <f>HYPERLINK("http://www.springer.com/gp/book/9781402067716","Remote Sensing of the European Seas")</f>
        <v>Remote Sensing of the European Seas</v>
      </c>
      <c r="F240" s="24">
        <v>2008</v>
      </c>
      <c r="G240" s="25" t="s">
        <v>957</v>
      </c>
      <c r="H240" s="70">
        <v>173.24</v>
      </c>
      <c r="I240" s="26">
        <v>25</v>
      </c>
      <c r="J240" s="68">
        <v>129.93</v>
      </c>
      <c r="K240" s="84">
        <v>149.99</v>
      </c>
      <c r="L240" s="85" t="s">
        <v>958</v>
      </c>
      <c r="M240" s="27" t="s">
        <v>977</v>
      </c>
      <c r="N240" s="25"/>
      <c r="O240" s="20" t="s">
        <v>3</v>
      </c>
      <c r="P240" s="25"/>
      <c r="Q240" s="25"/>
    </row>
    <row r="241" spans="1:17" ht="13.5" customHeight="1">
      <c r="A241" s="19" t="s">
        <v>65</v>
      </c>
      <c r="B241" s="20" t="s">
        <v>1162</v>
      </c>
      <c r="C241" s="21">
        <v>9783540609407</v>
      </c>
      <c r="D241" s="22" t="s">
        <v>105</v>
      </c>
      <c r="E241" s="23" t="str">
        <f>HYPERLINK("http://www.springer.com/gp/book/9783540609407","Scientific Computing in Chemical Engineering")</f>
        <v>Scientific Computing in Chemical Engineering</v>
      </c>
      <c r="F241" s="24">
        <v>1996</v>
      </c>
      <c r="G241" s="25" t="s">
        <v>957</v>
      </c>
      <c r="H241" s="70">
        <v>94.54</v>
      </c>
      <c r="I241" s="26">
        <v>30</v>
      </c>
      <c r="J241" s="68">
        <v>66.18</v>
      </c>
      <c r="K241" s="84">
        <v>79.95</v>
      </c>
      <c r="L241" s="85" t="s">
        <v>958</v>
      </c>
      <c r="M241" s="27" t="s">
        <v>977</v>
      </c>
      <c r="N241" s="25"/>
      <c r="O241" s="20" t="s">
        <v>98</v>
      </c>
      <c r="P241" s="25"/>
      <c r="Q241" s="25"/>
    </row>
    <row r="242" spans="1:17" ht="13.5" customHeight="1">
      <c r="A242" s="19" t="s">
        <v>65</v>
      </c>
      <c r="B242" s="20" t="s">
        <v>1162</v>
      </c>
      <c r="C242" s="21">
        <v>9780387258119</v>
      </c>
      <c r="D242" s="22" t="s">
        <v>97</v>
      </c>
      <c r="E242" s="23" t="str">
        <f>HYPERLINK("http://www.springer.com/gp/book/9780387258119","Practical Advances in Petroleum Processing")</f>
        <v>Practical Advances in Petroleum Processing</v>
      </c>
      <c r="F242" s="24">
        <v>2006</v>
      </c>
      <c r="G242" s="25" t="s">
        <v>957</v>
      </c>
      <c r="H242" s="70">
        <v>264.5</v>
      </c>
      <c r="I242" s="26">
        <v>30</v>
      </c>
      <c r="J242" s="68">
        <v>185.15</v>
      </c>
      <c r="K242" s="84">
        <v>229</v>
      </c>
      <c r="L242" s="85" t="s">
        <v>958</v>
      </c>
      <c r="M242" s="27" t="s">
        <v>977</v>
      </c>
      <c r="N242" s="25"/>
      <c r="O242" s="20" t="s">
        <v>98</v>
      </c>
      <c r="P242" s="25"/>
      <c r="Q242" s="25"/>
    </row>
    <row r="243" spans="1:17" ht="13.5" customHeight="1">
      <c r="A243" s="19" t="s">
        <v>65</v>
      </c>
      <c r="B243" s="20" t="s">
        <v>1162</v>
      </c>
      <c r="C243" s="21">
        <v>9783540739630</v>
      </c>
      <c r="D243" s="22"/>
      <c r="E243" s="23" t="str">
        <f>HYPERLINK("http://www.springer.com/gp/book/9783540739630","Acidity and Basicity")</f>
        <v>Acidity and Basicity</v>
      </c>
      <c r="F243" s="24">
        <v>2008</v>
      </c>
      <c r="G243" s="25" t="s">
        <v>957</v>
      </c>
      <c r="H243" s="70">
        <v>399.26</v>
      </c>
      <c r="I243" s="26">
        <v>25</v>
      </c>
      <c r="J243" s="68">
        <v>299.45</v>
      </c>
      <c r="K243" s="84">
        <v>349</v>
      </c>
      <c r="L243" s="85" t="s">
        <v>958</v>
      </c>
      <c r="M243" s="27" t="s">
        <v>977</v>
      </c>
      <c r="N243" s="25"/>
      <c r="O243" s="20" t="s">
        <v>8</v>
      </c>
      <c r="P243" s="25"/>
      <c r="Q243" s="25" t="s">
        <v>186</v>
      </c>
    </row>
    <row r="244" spans="1:17" s="6" customFormat="1" ht="13.5" customHeight="1">
      <c r="A244" s="19" t="s">
        <v>65</v>
      </c>
      <c r="B244" s="20" t="s">
        <v>1162</v>
      </c>
      <c r="C244" s="21">
        <v>9781461442615</v>
      </c>
      <c r="D244" s="22" t="s">
        <v>147</v>
      </c>
      <c r="E244" s="23" t="str">
        <f>HYPERLINK("http://www.springer.com/gp/book/9781461442615","Applied Chemistry")</f>
        <v>Applied Chemistry</v>
      </c>
      <c r="F244" s="24">
        <v>2013</v>
      </c>
      <c r="G244" s="25" t="s">
        <v>957</v>
      </c>
      <c r="H244" s="70">
        <v>88.63</v>
      </c>
      <c r="I244" s="26">
        <v>20</v>
      </c>
      <c r="J244" s="68">
        <v>70.9</v>
      </c>
      <c r="K244" s="84">
        <v>74.95</v>
      </c>
      <c r="L244" s="85" t="s">
        <v>958</v>
      </c>
      <c r="M244" s="27" t="s">
        <v>977</v>
      </c>
      <c r="N244" s="25" t="s">
        <v>1061</v>
      </c>
      <c r="O244" s="20" t="s">
        <v>22</v>
      </c>
      <c r="P244" s="25" t="s">
        <v>148</v>
      </c>
      <c r="Q244" s="25"/>
    </row>
    <row r="245" spans="1:17" ht="13.5" customHeight="1">
      <c r="A245" s="19" t="s">
        <v>65</v>
      </c>
      <c r="B245" s="20" t="s">
        <v>1160</v>
      </c>
      <c r="C245" s="21">
        <v>9783540420965</v>
      </c>
      <c r="D245" s="22" t="s">
        <v>140</v>
      </c>
      <c r="E245" s="23" t="str">
        <f>HYPERLINK("http://www.springer.com/gp/book/9783540420965","Host-Guest Chemistry")</f>
        <v>Host-Guest Chemistry</v>
      </c>
      <c r="F245" s="24">
        <v>2002</v>
      </c>
      <c r="G245" s="25" t="s">
        <v>957</v>
      </c>
      <c r="H245" s="70">
        <v>364.94</v>
      </c>
      <c r="I245" s="26">
        <v>30</v>
      </c>
      <c r="J245" s="68">
        <v>255.46</v>
      </c>
      <c r="K245" s="84">
        <v>319</v>
      </c>
      <c r="L245" s="85" t="s">
        <v>958</v>
      </c>
      <c r="M245" s="27" t="s">
        <v>977</v>
      </c>
      <c r="N245" s="25"/>
      <c r="O245" s="20" t="s">
        <v>64</v>
      </c>
      <c r="P245" s="25" t="s">
        <v>141</v>
      </c>
      <c r="Q245" s="25" t="s">
        <v>142</v>
      </c>
    </row>
    <row r="246" spans="1:17" s="6" customFormat="1" ht="13.5" customHeight="1">
      <c r="A246" s="19" t="s">
        <v>65</v>
      </c>
      <c r="B246" s="20" t="s">
        <v>1160</v>
      </c>
      <c r="C246" s="21">
        <v>9783540007142</v>
      </c>
      <c r="D246" s="22" t="s">
        <v>121</v>
      </c>
      <c r="E246" s="23" t="str">
        <f>HYPERLINK("http://www.springer.com/gp/book/9783540007142","New Aspects in Phosphorus Chemistry III")</f>
        <v>New Aspects in Phosphorus Chemistry III</v>
      </c>
      <c r="F246" s="24">
        <v>2003</v>
      </c>
      <c r="G246" s="25" t="s">
        <v>957</v>
      </c>
      <c r="H246" s="70">
        <v>333.8</v>
      </c>
      <c r="I246" s="26">
        <v>30</v>
      </c>
      <c r="J246" s="68">
        <v>233.66</v>
      </c>
      <c r="K246" s="84">
        <v>289</v>
      </c>
      <c r="L246" s="85" t="s">
        <v>958</v>
      </c>
      <c r="M246" s="27" t="s">
        <v>977</v>
      </c>
      <c r="N246" s="25"/>
      <c r="O246" s="20" t="s">
        <v>64</v>
      </c>
      <c r="P246" s="25"/>
      <c r="Q246" s="25" t="s">
        <v>122</v>
      </c>
    </row>
    <row r="247" spans="1:17" s="6" customFormat="1" ht="13.5" customHeight="1">
      <c r="A247" s="19" t="s">
        <v>65</v>
      </c>
      <c r="B247" s="20" t="s">
        <v>1160</v>
      </c>
      <c r="C247" s="21">
        <v>9783540006695</v>
      </c>
      <c r="D247" s="22" t="s">
        <v>152</v>
      </c>
      <c r="E247" s="23" t="str">
        <f>HYPERLINK("http://www.springer.com/gp/book/9783540006695","Dendrimers V")</f>
        <v>Dendrimers V</v>
      </c>
      <c r="F247" s="24">
        <v>2003</v>
      </c>
      <c r="G247" s="25" t="s">
        <v>957</v>
      </c>
      <c r="H247" s="70">
        <v>376.38</v>
      </c>
      <c r="I247" s="26">
        <v>30</v>
      </c>
      <c r="J247" s="68">
        <v>263.47</v>
      </c>
      <c r="K247" s="84">
        <v>329</v>
      </c>
      <c r="L247" s="85" t="s">
        <v>958</v>
      </c>
      <c r="M247" s="27" t="s">
        <v>977</v>
      </c>
      <c r="N247" s="25"/>
      <c r="O247" s="20" t="s">
        <v>64</v>
      </c>
      <c r="P247" s="25" t="s">
        <v>153</v>
      </c>
      <c r="Q247" s="25" t="s">
        <v>154</v>
      </c>
    </row>
    <row r="248" spans="1:17" s="6" customFormat="1" ht="13.5" customHeight="1">
      <c r="A248" s="19" t="s">
        <v>65</v>
      </c>
      <c r="B248" s="20" t="s">
        <v>1160</v>
      </c>
      <c r="C248" s="21">
        <v>9780387683461</v>
      </c>
      <c r="D248" s="22" t="s">
        <v>74</v>
      </c>
      <c r="E248" s="23" t="str">
        <f>HYPERLINK("http://www.springer.com/gp/book/9780387683461","Advanced Organic Chemistry")</f>
        <v>Advanced Organic Chemistry</v>
      </c>
      <c r="F248" s="24">
        <v>2007</v>
      </c>
      <c r="G248" s="25" t="s">
        <v>957</v>
      </c>
      <c r="H248" s="70">
        <v>53.15</v>
      </c>
      <c r="I248" s="26">
        <v>30</v>
      </c>
      <c r="J248" s="68">
        <v>37.21</v>
      </c>
      <c r="K248" s="84">
        <v>44.95</v>
      </c>
      <c r="L248" s="85" t="s">
        <v>958</v>
      </c>
      <c r="M248" s="27" t="s">
        <v>995</v>
      </c>
      <c r="N248" s="25" t="s">
        <v>1109</v>
      </c>
      <c r="O248" s="20" t="s">
        <v>22</v>
      </c>
      <c r="P248" s="25" t="s">
        <v>75</v>
      </c>
      <c r="Q248" s="25" t="s">
        <v>76</v>
      </c>
    </row>
    <row r="249" spans="1:17" ht="13.5" customHeight="1">
      <c r="A249" s="19" t="s">
        <v>65</v>
      </c>
      <c r="B249" s="20" t="s">
        <v>1160</v>
      </c>
      <c r="C249" s="21">
        <v>9780387683546</v>
      </c>
      <c r="D249" s="22" t="s">
        <v>74</v>
      </c>
      <c r="E249" s="23" t="str">
        <f>HYPERLINK("http://www.springer.com/gp/book/9780387683546","Advanced Organic Chemistry")</f>
        <v>Advanced Organic Chemistry</v>
      </c>
      <c r="F249" s="24">
        <v>2007</v>
      </c>
      <c r="G249" s="25" t="s">
        <v>957</v>
      </c>
      <c r="H249" s="70">
        <v>53.15</v>
      </c>
      <c r="I249" s="26">
        <v>30</v>
      </c>
      <c r="J249" s="68">
        <v>37.21</v>
      </c>
      <c r="K249" s="84">
        <v>44.95</v>
      </c>
      <c r="L249" s="85" t="s">
        <v>958</v>
      </c>
      <c r="M249" s="27" t="s">
        <v>995</v>
      </c>
      <c r="N249" s="25" t="s">
        <v>1109</v>
      </c>
      <c r="O249" s="20" t="s">
        <v>22</v>
      </c>
      <c r="P249" s="25" t="s">
        <v>77</v>
      </c>
      <c r="Q249" s="25" t="s">
        <v>78</v>
      </c>
    </row>
    <row r="250" spans="1:17" ht="13.5" customHeight="1">
      <c r="A250" s="19" t="s">
        <v>65</v>
      </c>
      <c r="B250" s="20" t="s">
        <v>1160</v>
      </c>
      <c r="C250" s="21">
        <v>9780387448978</v>
      </c>
      <c r="D250" s="22" t="s">
        <v>74</v>
      </c>
      <c r="E250" s="23" t="str">
        <f>HYPERLINK("http://www.springer.com/gp/book/9780387448978","Advanced Organic Chemistry")</f>
        <v>Advanced Organic Chemistry</v>
      </c>
      <c r="F250" s="24">
        <v>2007</v>
      </c>
      <c r="G250" s="25" t="s">
        <v>957</v>
      </c>
      <c r="H250" s="70">
        <v>115.44</v>
      </c>
      <c r="I250" s="26">
        <v>30</v>
      </c>
      <c r="J250" s="68">
        <v>80.81</v>
      </c>
      <c r="K250" s="84">
        <v>99.95</v>
      </c>
      <c r="L250" s="85" t="s">
        <v>958</v>
      </c>
      <c r="M250" s="27" t="s">
        <v>977</v>
      </c>
      <c r="N250" s="25" t="s">
        <v>1109</v>
      </c>
      <c r="O250" s="20" t="s">
        <v>22</v>
      </c>
      <c r="P250" s="25" t="s">
        <v>75</v>
      </c>
      <c r="Q250" s="25" t="s">
        <v>76</v>
      </c>
    </row>
    <row r="251" spans="1:17" ht="13.5" customHeight="1">
      <c r="A251" s="19" t="s">
        <v>65</v>
      </c>
      <c r="B251" s="20" t="s">
        <v>1160</v>
      </c>
      <c r="C251" s="21">
        <v>9780387683508</v>
      </c>
      <c r="D251" s="22" t="s">
        <v>74</v>
      </c>
      <c r="E251" s="23" t="str">
        <f>HYPERLINK("http://www.springer.com/gp/book/9780387683508","Advanced Organic Chemistry")</f>
        <v>Advanced Organic Chemistry</v>
      </c>
      <c r="F251" s="24">
        <v>2007</v>
      </c>
      <c r="G251" s="25" t="s">
        <v>957</v>
      </c>
      <c r="H251" s="70">
        <v>115.44</v>
      </c>
      <c r="I251" s="26">
        <v>30</v>
      </c>
      <c r="J251" s="68">
        <v>80.81</v>
      </c>
      <c r="K251" s="84">
        <v>99.95</v>
      </c>
      <c r="L251" s="85" t="s">
        <v>958</v>
      </c>
      <c r="M251" s="27" t="s">
        <v>977</v>
      </c>
      <c r="N251" s="25" t="s">
        <v>1109</v>
      </c>
      <c r="O251" s="20" t="s">
        <v>22</v>
      </c>
      <c r="P251" s="25" t="s">
        <v>77</v>
      </c>
      <c r="Q251" s="25" t="s">
        <v>78</v>
      </c>
    </row>
    <row r="252" spans="1:17" s="6" customFormat="1" ht="13.5" customHeight="1">
      <c r="A252" s="19" t="s">
        <v>65</v>
      </c>
      <c r="B252" s="20" t="s">
        <v>1160</v>
      </c>
      <c r="C252" s="21">
        <v>9783540758129</v>
      </c>
      <c r="D252" s="22" t="s">
        <v>108</v>
      </c>
      <c r="E252" s="23" t="str">
        <f>HYPERLINK("http://www.springer.com/gp/book/9783540758129","Anthracycline Chemistry and Biology II")</f>
        <v>Anthracycline Chemistry and Biology II</v>
      </c>
      <c r="F252" s="24">
        <v>2008</v>
      </c>
      <c r="G252" s="25" t="s">
        <v>957</v>
      </c>
      <c r="H252" s="70">
        <v>264.5</v>
      </c>
      <c r="I252" s="26">
        <v>25</v>
      </c>
      <c r="J252" s="68">
        <v>198.38</v>
      </c>
      <c r="K252" s="84">
        <v>229</v>
      </c>
      <c r="L252" s="85" t="s">
        <v>958</v>
      </c>
      <c r="M252" s="27" t="s">
        <v>977</v>
      </c>
      <c r="N252" s="25"/>
      <c r="O252" s="20" t="s">
        <v>64</v>
      </c>
      <c r="P252" s="25" t="s">
        <v>109</v>
      </c>
      <c r="Q252" s="25" t="s">
        <v>110</v>
      </c>
    </row>
    <row r="253" spans="1:17" ht="13.5" customHeight="1">
      <c r="A253" s="19" t="s">
        <v>65</v>
      </c>
      <c r="B253" s="20" t="s">
        <v>1160</v>
      </c>
      <c r="C253" s="21">
        <v>9783540778684</v>
      </c>
      <c r="D253" s="22" t="s">
        <v>167</v>
      </c>
      <c r="E253" s="23" t="str">
        <f>HYPERLINK("http://www.springer.com/gp/book/9783540778684","Amplification of Chirality")</f>
        <v>Amplification of Chirality</v>
      </c>
      <c r="F253" s="24">
        <v>2008</v>
      </c>
      <c r="G253" s="25" t="s">
        <v>957</v>
      </c>
      <c r="H253" s="70">
        <v>322.25</v>
      </c>
      <c r="I253" s="26">
        <v>25</v>
      </c>
      <c r="J253" s="68">
        <v>241.69</v>
      </c>
      <c r="K253" s="84">
        <v>279</v>
      </c>
      <c r="L253" s="85" t="s">
        <v>958</v>
      </c>
      <c r="M253" s="27" t="s">
        <v>977</v>
      </c>
      <c r="N253" s="25"/>
      <c r="O253" s="20" t="s">
        <v>64</v>
      </c>
      <c r="P253" s="25"/>
      <c r="Q253" s="25" t="s">
        <v>168</v>
      </c>
    </row>
    <row r="254" spans="1:17" ht="13.5" customHeight="1">
      <c r="A254" s="19" t="s">
        <v>65</v>
      </c>
      <c r="B254" s="20" t="s">
        <v>1160</v>
      </c>
      <c r="C254" s="21">
        <v>9783540490791</v>
      </c>
      <c r="D254" s="22" t="s">
        <v>143</v>
      </c>
      <c r="E254" s="23" t="str">
        <f>HYPERLINK("http://www.springer.com/gp/book/9783540490791","Bioactive Conformation II")</f>
        <v>Bioactive Conformation II</v>
      </c>
      <c r="F254" s="24">
        <v>2008</v>
      </c>
      <c r="G254" s="25" t="s">
        <v>957</v>
      </c>
      <c r="H254" s="70">
        <v>333.8</v>
      </c>
      <c r="I254" s="26">
        <v>25</v>
      </c>
      <c r="J254" s="68">
        <v>250.35</v>
      </c>
      <c r="K254" s="84">
        <v>289</v>
      </c>
      <c r="L254" s="85" t="s">
        <v>958</v>
      </c>
      <c r="M254" s="27" t="s">
        <v>977</v>
      </c>
      <c r="N254" s="25"/>
      <c r="O254" s="20" t="s">
        <v>64</v>
      </c>
      <c r="P254" s="25"/>
      <c r="Q254" s="25" t="s">
        <v>144</v>
      </c>
    </row>
    <row r="255" spans="1:17" ht="13.5" customHeight="1">
      <c r="A255" s="19" t="s">
        <v>65</v>
      </c>
      <c r="B255" s="20" t="s">
        <v>1160</v>
      </c>
      <c r="C255" s="21">
        <v>9783540681892</v>
      </c>
      <c r="D255" s="22" t="s">
        <v>128</v>
      </c>
      <c r="E255" s="23" t="str">
        <f>HYPERLINK("http://www.springer.com/gp/book/9783540681892","Heterocyclic Supramolecules I")</f>
        <v>Heterocyclic Supramolecules I</v>
      </c>
      <c r="F255" s="24">
        <v>2008</v>
      </c>
      <c r="G255" s="25" t="s">
        <v>957</v>
      </c>
      <c r="H255" s="70">
        <v>333.8</v>
      </c>
      <c r="I255" s="26">
        <v>25</v>
      </c>
      <c r="J255" s="68">
        <v>250.35</v>
      </c>
      <c r="K255" s="84">
        <v>289</v>
      </c>
      <c r="L255" s="85" t="s">
        <v>958</v>
      </c>
      <c r="M255" s="27" t="s">
        <v>977</v>
      </c>
      <c r="N255" s="25"/>
      <c r="O255" s="20" t="s">
        <v>64</v>
      </c>
      <c r="P255" s="25"/>
      <c r="Q255" s="25" t="s">
        <v>129</v>
      </c>
    </row>
    <row r="256" spans="1:17" ht="13.5" customHeight="1">
      <c r="A256" s="19" t="s">
        <v>65</v>
      </c>
      <c r="B256" s="20" t="s">
        <v>1160</v>
      </c>
      <c r="C256" s="21">
        <v>9783540783688</v>
      </c>
      <c r="D256" s="22" t="s">
        <v>93</v>
      </c>
      <c r="E256" s="23" t="str">
        <f>HYPERLINK("http://www.springer.com/gp/book/9783540783688","Synthesis of Heterocycles via Cycloadditions I")</f>
        <v>Synthesis of Heterocycles via Cycloadditions I</v>
      </c>
      <c r="F256" s="24">
        <v>2008</v>
      </c>
      <c r="G256" s="25" t="s">
        <v>957</v>
      </c>
      <c r="H256" s="70">
        <v>333.8</v>
      </c>
      <c r="I256" s="26">
        <v>25</v>
      </c>
      <c r="J256" s="68">
        <v>250.35</v>
      </c>
      <c r="K256" s="84">
        <v>289</v>
      </c>
      <c r="L256" s="85" t="s">
        <v>958</v>
      </c>
      <c r="M256" s="27" t="s">
        <v>977</v>
      </c>
      <c r="N256" s="25"/>
      <c r="O256" s="20" t="s">
        <v>64</v>
      </c>
      <c r="P256" s="25"/>
      <c r="Q256" s="25" t="s">
        <v>94</v>
      </c>
    </row>
    <row r="257" spans="1:17" ht="13.5" customHeight="1">
      <c r="A257" s="19" t="s">
        <v>65</v>
      </c>
      <c r="B257" s="20" t="s">
        <v>1160</v>
      </c>
      <c r="C257" s="21">
        <v>9783540783725</v>
      </c>
      <c r="D257" s="22" t="s">
        <v>93</v>
      </c>
      <c r="E257" s="23" t="str">
        <f>HYPERLINK("http://www.springer.com/gp/book/9783540783725","Synthesis of Heterocycles via Cycloadditions II")</f>
        <v>Synthesis of Heterocycles via Cycloadditions II</v>
      </c>
      <c r="F257" s="24">
        <v>2008</v>
      </c>
      <c r="G257" s="25" t="s">
        <v>957</v>
      </c>
      <c r="H257" s="70">
        <v>333.8</v>
      </c>
      <c r="I257" s="26">
        <v>25</v>
      </c>
      <c r="J257" s="68">
        <v>250.35</v>
      </c>
      <c r="K257" s="84">
        <v>289</v>
      </c>
      <c r="L257" s="85" t="s">
        <v>958</v>
      </c>
      <c r="M257" s="27" t="s">
        <v>977</v>
      </c>
      <c r="N257" s="25"/>
      <c r="O257" s="20" t="s">
        <v>64</v>
      </c>
      <c r="P257" s="25"/>
      <c r="Q257" s="25" t="s">
        <v>95</v>
      </c>
    </row>
    <row r="258" spans="1:17" ht="13.5" customHeight="1">
      <c r="A258" s="19" t="s">
        <v>65</v>
      </c>
      <c r="B258" s="20" t="s">
        <v>1160</v>
      </c>
      <c r="C258" s="21">
        <v>9783540790631</v>
      </c>
      <c r="D258" s="22" t="s">
        <v>169</v>
      </c>
      <c r="E258" s="23" t="str">
        <f>HYPERLINK("http://www.springer.com/gp/book/9783540790631","Heterocyclic Polymethine Dyes")</f>
        <v>Heterocyclic Polymethine Dyes</v>
      </c>
      <c r="F258" s="24">
        <v>2008</v>
      </c>
      <c r="G258" s="25" t="s">
        <v>957</v>
      </c>
      <c r="H258" s="70">
        <v>399.26</v>
      </c>
      <c r="I258" s="26">
        <v>25</v>
      </c>
      <c r="J258" s="68">
        <v>299.45</v>
      </c>
      <c r="K258" s="84">
        <v>349</v>
      </c>
      <c r="L258" s="85" t="s">
        <v>958</v>
      </c>
      <c r="M258" s="27" t="s">
        <v>977</v>
      </c>
      <c r="N258" s="25"/>
      <c r="O258" s="20" t="s">
        <v>64</v>
      </c>
      <c r="P258" s="25" t="s">
        <v>170</v>
      </c>
      <c r="Q258" s="25" t="s">
        <v>171</v>
      </c>
    </row>
    <row r="259" spans="1:17" s="6" customFormat="1" ht="13.5" customHeight="1">
      <c r="A259" s="19" t="s">
        <v>65</v>
      </c>
      <c r="B259" s="20" t="s">
        <v>1160</v>
      </c>
      <c r="C259" s="21">
        <v>9783540792178</v>
      </c>
      <c r="D259" s="22" t="s">
        <v>130</v>
      </c>
      <c r="E259" s="23" t="str">
        <f>HYPERLINK("http://www.springer.com/gp/book/9783540792178","Bioactive Heterocycles VI")</f>
        <v>Bioactive Heterocycles VI</v>
      </c>
      <c r="F259" s="24">
        <v>2008</v>
      </c>
      <c r="G259" s="25" t="s">
        <v>957</v>
      </c>
      <c r="H259" s="70">
        <v>399.26</v>
      </c>
      <c r="I259" s="26">
        <v>25</v>
      </c>
      <c r="J259" s="68">
        <v>299.45</v>
      </c>
      <c r="K259" s="84">
        <v>349</v>
      </c>
      <c r="L259" s="85" t="s">
        <v>958</v>
      </c>
      <c r="M259" s="27" t="s">
        <v>977</v>
      </c>
      <c r="N259" s="25"/>
      <c r="O259" s="20" t="s">
        <v>64</v>
      </c>
      <c r="P259" s="25" t="s">
        <v>131</v>
      </c>
      <c r="Q259" s="25" t="s">
        <v>132</v>
      </c>
    </row>
    <row r="260" spans="1:17" ht="13.5" customHeight="1">
      <c r="A260" s="19" t="s">
        <v>65</v>
      </c>
      <c r="B260" s="20" t="s">
        <v>1160</v>
      </c>
      <c r="C260" s="21">
        <v>9783540758143</v>
      </c>
      <c r="D260" s="22" t="s">
        <v>108</v>
      </c>
      <c r="E260" s="23" t="str">
        <f>HYPERLINK("http://www.springer.com/gp/book/9783540758143","Anthracycline Chemistry and Biology I")</f>
        <v>Anthracycline Chemistry and Biology I</v>
      </c>
      <c r="F260" s="24">
        <v>2008</v>
      </c>
      <c r="G260" s="25" t="s">
        <v>957</v>
      </c>
      <c r="H260" s="70">
        <v>433.58</v>
      </c>
      <c r="I260" s="26">
        <v>25</v>
      </c>
      <c r="J260" s="68">
        <v>325.19</v>
      </c>
      <c r="K260" s="84">
        <v>379</v>
      </c>
      <c r="L260" s="85" t="s">
        <v>958</v>
      </c>
      <c r="M260" s="27" t="s">
        <v>977</v>
      </c>
      <c r="N260" s="25"/>
      <c r="O260" s="20" t="s">
        <v>64</v>
      </c>
      <c r="P260" s="25" t="s">
        <v>111</v>
      </c>
      <c r="Q260" s="25" t="s">
        <v>112</v>
      </c>
    </row>
    <row r="261" spans="1:17" ht="13.5" customHeight="1">
      <c r="A261" s="19" t="s">
        <v>65</v>
      </c>
      <c r="B261" s="20" t="s">
        <v>1160</v>
      </c>
      <c r="C261" s="21">
        <v>9783540792192</v>
      </c>
      <c r="D261" s="22" t="s">
        <v>96</v>
      </c>
      <c r="E261" s="23" t="str">
        <f>HYPERLINK("http://www.springer.com/gp/book/9783540792192","Elements of Synthesis Planning")</f>
        <v>Elements of Synthesis Planning</v>
      </c>
      <c r="F261" s="24">
        <v>2009</v>
      </c>
      <c r="G261" s="25" t="s">
        <v>957</v>
      </c>
      <c r="H261" s="70">
        <v>35.46</v>
      </c>
      <c r="I261" s="26">
        <v>25</v>
      </c>
      <c r="J261" s="68">
        <v>26.6</v>
      </c>
      <c r="K261" s="84">
        <v>29.99</v>
      </c>
      <c r="L261" s="85" t="s">
        <v>958</v>
      </c>
      <c r="M261" s="27" t="s">
        <v>995</v>
      </c>
      <c r="N261" s="25"/>
      <c r="O261" s="20" t="s">
        <v>22</v>
      </c>
      <c r="P261" s="25"/>
      <c r="Q261" s="25"/>
    </row>
    <row r="262" spans="1:17" ht="13.5" customHeight="1">
      <c r="A262" s="19" t="s">
        <v>65</v>
      </c>
      <c r="B262" s="20" t="s">
        <v>1160</v>
      </c>
      <c r="C262" s="21">
        <v>9783642283406</v>
      </c>
      <c r="D262" s="22" t="s">
        <v>88</v>
      </c>
      <c r="E262" s="23" t="str">
        <f>HYPERLINK("http://www.springer.com/gp/book/9783642283406","Beauty in Chemistry")</f>
        <v>Beauty in Chemistry</v>
      </c>
      <c r="F262" s="24">
        <v>2012</v>
      </c>
      <c r="G262" s="25" t="s">
        <v>957</v>
      </c>
      <c r="H262" s="70">
        <v>252.95</v>
      </c>
      <c r="I262" s="26">
        <v>20</v>
      </c>
      <c r="J262" s="68">
        <v>202.36</v>
      </c>
      <c r="K262" s="84">
        <v>219</v>
      </c>
      <c r="L262" s="85" t="s">
        <v>958</v>
      </c>
      <c r="M262" s="27" t="s">
        <v>977</v>
      </c>
      <c r="N262" s="25"/>
      <c r="O262" s="20" t="s">
        <v>64</v>
      </c>
      <c r="P262" s="25" t="s">
        <v>89</v>
      </c>
      <c r="Q262" s="25" t="s">
        <v>90</v>
      </c>
    </row>
    <row r="263" spans="1:17" ht="13.5" customHeight="1">
      <c r="A263" s="19" t="s">
        <v>65</v>
      </c>
      <c r="B263" s="20" t="s">
        <v>1161</v>
      </c>
      <c r="C263" s="21">
        <v>9781402085451</v>
      </c>
      <c r="D263" s="22" t="s">
        <v>71</v>
      </c>
      <c r="E263" s="23" t="str">
        <f>HYPERLINK("http://www.springer.com/gp/book/9781402085451","Chemistry from First Principles")</f>
        <v>Chemistry from First Principles</v>
      </c>
      <c r="F263" s="24">
        <v>2008</v>
      </c>
      <c r="G263" s="25" t="s">
        <v>957</v>
      </c>
      <c r="H263" s="70">
        <v>80.35</v>
      </c>
      <c r="I263" s="26">
        <v>25</v>
      </c>
      <c r="J263" s="68">
        <v>60.26</v>
      </c>
      <c r="K263" s="84">
        <v>67.95</v>
      </c>
      <c r="L263" s="85" t="s">
        <v>958</v>
      </c>
      <c r="M263" s="27" t="s">
        <v>977</v>
      </c>
      <c r="N263" s="25"/>
      <c r="O263" s="20" t="s">
        <v>22</v>
      </c>
      <c r="P263" s="25"/>
      <c r="Q263" s="25"/>
    </row>
    <row r="264" spans="1:17" ht="13.5" customHeight="1">
      <c r="A264" s="28" t="s">
        <v>65</v>
      </c>
      <c r="B264" s="27" t="s">
        <v>1093</v>
      </c>
      <c r="C264" s="29">
        <v>9783540625131</v>
      </c>
      <c r="D264" s="30" t="s">
        <v>990</v>
      </c>
      <c r="E264" s="31" t="s">
        <v>991</v>
      </c>
      <c r="F264" s="32">
        <v>2006</v>
      </c>
      <c r="G264" s="33" t="s">
        <v>957</v>
      </c>
      <c r="H264" s="71">
        <v>59.11</v>
      </c>
      <c r="I264" s="26">
        <v>30</v>
      </c>
      <c r="J264" s="68">
        <v>41.38</v>
      </c>
      <c r="K264" s="86">
        <v>49.99</v>
      </c>
      <c r="L264" s="87" t="s">
        <v>958</v>
      </c>
      <c r="M264" s="27" t="s">
        <v>995</v>
      </c>
      <c r="N264" s="29" t="s">
        <v>1054</v>
      </c>
      <c r="O264" s="20" t="s">
        <v>3</v>
      </c>
      <c r="P264" s="27"/>
      <c r="Q264" s="27"/>
    </row>
    <row r="265" spans="1:17" ht="13.5" customHeight="1">
      <c r="A265" s="19" t="s">
        <v>65</v>
      </c>
      <c r="B265" s="20" t="s">
        <v>1355</v>
      </c>
      <c r="C265" s="21">
        <v>9783540418924</v>
      </c>
      <c r="D265" s="22" t="s">
        <v>175</v>
      </c>
      <c r="E265" s="23" t="str">
        <f>HYPERLINK("http://www.springer.com/gp/book/9783540418924","Who’s Who in Analytical Chemistry")</f>
        <v>Who’s Who in Analytical Chemistry</v>
      </c>
      <c r="F265" s="24">
        <v>2002</v>
      </c>
      <c r="G265" s="25" t="s">
        <v>957</v>
      </c>
      <c r="H265" s="70">
        <v>94.59</v>
      </c>
      <c r="I265" s="26">
        <v>30</v>
      </c>
      <c r="J265" s="68">
        <v>66.21</v>
      </c>
      <c r="K265" s="84">
        <v>79.99</v>
      </c>
      <c r="L265" s="85" t="s">
        <v>958</v>
      </c>
      <c r="M265" s="27" t="s">
        <v>977</v>
      </c>
      <c r="N265" s="25"/>
      <c r="O265" s="20" t="s">
        <v>98</v>
      </c>
      <c r="P265" s="25" t="s">
        <v>176</v>
      </c>
      <c r="Q265" s="25"/>
    </row>
    <row r="266" spans="1:17" ht="13.5" customHeight="1">
      <c r="A266" s="19" t="s">
        <v>65</v>
      </c>
      <c r="B266" s="20" t="s">
        <v>1355</v>
      </c>
      <c r="C266" s="21">
        <v>9781402066016</v>
      </c>
      <c r="D266" s="22" t="s">
        <v>184</v>
      </c>
      <c r="E266" s="23" t="str">
        <f>HYPERLINK("http://www.springer.com/gp/book/9781402066016","The Inorganic Radiochemistry of Heavy Elements")</f>
        <v>The Inorganic Radiochemistry of Heavy Elements</v>
      </c>
      <c r="F266" s="24">
        <v>2008</v>
      </c>
      <c r="G266" s="25" t="s">
        <v>957</v>
      </c>
      <c r="H266" s="70">
        <v>230.94</v>
      </c>
      <c r="I266" s="26">
        <v>25</v>
      </c>
      <c r="J266" s="68">
        <v>173.21</v>
      </c>
      <c r="K266" s="84">
        <v>199.95</v>
      </c>
      <c r="L266" s="85" t="s">
        <v>958</v>
      </c>
      <c r="M266" s="27" t="s">
        <v>977</v>
      </c>
      <c r="N266" s="25"/>
      <c r="O266" s="20" t="s">
        <v>3</v>
      </c>
      <c r="P266" s="25" t="s">
        <v>185</v>
      </c>
      <c r="Q266" s="25"/>
    </row>
    <row r="267" spans="1:17" s="6" customFormat="1" ht="13.5" customHeight="1">
      <c r="A267" s="19" t="s">
        <v>65</v>
      </c>
      <c r="B267" s="20" t="s">
        <v>1097</v>
      </c>
      <c r="C267" s="21">
        <v>9780387255316</v>
      </c>
      <c r="D267" s="22" t="s">
        <v>182</v>
      </c>
      <c r="E267" s="23" t="str">
        <f>HYPERLINK("http://www.springer.com/gp/book/9780387255316","Introduction to Ion Beam Biotechnology")</f>
        <v>Introduction to Ion Beam Biotechnology</v>
      </c>
      <c r="F267" s="24">
        <v>2006</v>
      </c>
      <c r="G267" s="25" t="s">
        <v>957</v>
      </c>
      <c r="H267" s="70">
        <v>126.99</v>
      </c>
      <c r="I267" s="26">
        <v>30</v>
      </c>
      <c r="J267" s="68">
        <v>88.89</v>
      </c>
      <c r="K267" s="84">
        <v>109.95</v>
      </c>
      <c r="L267" s="85" t="s">
        <v>958</v>
      </c>
      <c r="M267" s="27" t="s">
        <v>977</v>
      </c>
      <c r="N267" s="25"/>
      <c r="O267" s="20" t="s">
        <v>183</v>
      </c>
      <c r="P267" s="25"/>
      <c r="Q267" s="25"/>
    </row>
    <row r="268" spans="1:17" s="6" customFormat="1" ht="13.5" customHeight="1">
      <c r="A268" s="19" t="s">
        <v>65</v>
      </c>
      <c r="B268" s="20" t="s">
        <v>1097</v>
      </c>
      <c r="C268" s="21">
        <v>9783540746003</v>
      </c>
      <c r="D268" s="22" t="s">
        <v>145</v>
      </c>
      <c r="E268" s="23" t="str">
        <f>HYPERLINK("http://www.springer.com/gp/book/9783540746003","Bioactive Molecules and Medicinal Plants")</f>
        <v>Bioactive Molecules and Medicinal Plants</v>
      </c>
      <c r="F268" s="24">
        <v>2008</v>
      </c>
      <c r="G268" s="25" t="s">
        <v>957</v>
      </c>
      <c r="H268" s="70">
        <v>364.94</v>
      </c>
      <c r="I268" s="26">
        <v>25</v>
      </c>
      <c r="J268" s="68">
        <v>273.71</v>
      </c>
      <c r="K268" s="84">
        <v>319</v>
      </c>
      <c r="L268" s="85" t="s">
        <v>958</v>
      </c>
      <c r="M268" s="27" t="s">
        <v>977</v>
      </c>
      <c r="N268" s="25"/>
      <c r="O268" s="20" t="s">
        <v>98</v>
      </c>
      <c r="P268" s="25"/>
      <c r="Q268" s="25"/>
    </row>
    <row r="269" spans="1:17" ht="13.5" customHeight="1">
      <c r="A269" s="19" t="s">
        <v>65</v>
      </c>
      <c r="B269" s="20" t="s">
        <v>1097</v>
      </c>
      <c r="C269" s="21">
        <v>9783540688174</v>
      </c>
      <c r="D269" s="22" t="s">
        <v>180</v>
      </c>
      <c r="E269" s="23" t="str">
        <f>HYPERLINK("http://www.springer.com/gp/book/9783540688174","Protein - Protein Interaction")</f>
        <v>Protein - Protein Interaction</v>
      </c>
      <c r="F269" s="24">
        <v>2008</v>
      </c>
      <c r="G269" s="25" t="s">
        <v>957</v>
      </c>
      <c r="H269" s="70">
        <v>376.38</v>
      </c>
      <c r="I269" s="26">
        <v>25</v>
      </c>
      <c r="J269" s="68">
        <v>282.29</v>
      </c>
      <c r="K269" s="84">
        <v>329</v>
      </c>
      <c r="L269" s="85" t="s">
        <v>958</v>
      </c>
      <c r="M269" s="27" t="s">
        <v>977</v>
      </c>
      <c r="N269" s="25"/>
      <c r="O269" s="20" t="s">
        <v>64</v>
      </c>
      <c r="P269" s="25"/>
      <c r="Q269" s="25" t="s">
        <v>181</v>
      </c>
    </row>
    <row r="270" spans="1:17" ht="13.5" customHeight="1">
      <c r="A270" s="19" t="s">
        <v>65</v>
      </c>
      <c r="B270" s="20" t="s">
        <v>1113</v>
      </c>
      <c r="C270" s="21">
        <v>9780792374312</v>
      </c>
      <c r="D270" s="22" t="s">
        <v>69</v>
      </c>
      <c r="E270" s="23" t="str">
        <f>HYPERLINK("http://www.springer.com/gp/book/9780792374312","Soft Mechanochemical Synthesis")</f>
        <v>Soft Mechanochemical Synthesis</v>
      </c>
      <c r="F270" s="24">
        <v>2001</v>
      </c>
      <c r="G270" s="25" t="s">
        <v>957</v>
      </c>
      <c r="H270" s="70">
        <v>173.24</v>
      </c>
      <c r="I270" s="26">
        <v>30</v>
      </c>
      <c r="J270" s="68">
        <v>121.27</v>
      </c>
      <c r="K270" s="84">
        <v>149.99</v>
      </c>
      <c r="L270" s="85" t="s">
        <v>958</v>
      </c>
      <c r="M270" s="27" t="s">
        <v>977</v>
      </c>
      <c r="N270" s="25"/>
      <c r="O270" s="20" t="s">
        <v>10</v>
      </c>
      <c r="P270" s="25" t="s">
        <v>70</v>
      </c>
      <c r="Q270" s="25"/>
    </row>
    <row r="271" spans="1:17" ht="13.5" customHeight="1">
      <c r="A271" s="19" t="s">
        <v>65</v>
      </c>
      <c r="B271" s="20" t="s">
        <v>1113</v>
      </c>
      <c r="C271" s="21">
        <v>9783540707301</v>
      </c>
      <c r="D271" s="22" t="s">
        <v>133</v>
      </c>
      <c r="E271" s="23" t="str">
        <f>HYPERLINK("http://www.springer.com/gp/book/9783540707301","Molecular Catalysts for Energy Conversion")</f>
        <v>Molecular Catalysts for Energy Conversion</v>
      </c>
      <c r="F271" s="24">
        <v>2009</v>
      </c>
      <c r="G271" s="25" t="s">
        <v>957</v>
      </c>
      <c r="H271" s="70">
        <v>225.21</v>
      </c>
      <c r="I271" s="26">
        <v>25</v>
      </c>
      <c r="J271" s="68">
        <v>168.91</v>
      </c>
      <c r="K271" s="84">
        <v>194.99</v>
      </c>
      <c r="L271" s="85" t="s">
        <v>958</v>
      </c>
      <c r="M271" s="27" t="s">
        <v>977</v>
      </c>
      <c r="N271" s="25"/>
      <c r="O271" s="20" t="s">
        <v>3</v>
      </c>
      <c r="P271" s="25"/>
      <c r="Q271" s="25" t="s">
        <v>134</v>
      </c>
    </row>
    <row r="272" spans="1:17" ht="13.5" customHeight="1">
      <c r="A272" s="19" t="s">
        <v>65</v>
      </c>
      <c r="B272" s="20" t="s">
        <v>1112</v>
      </c>
      <c r="C272" s="21">
        <v>9780387495842</v>
      </c>
      <c r="D272" s="22" t="s">
        <v>160</v>
      </c>
      <c r="E272" s="23" t="str">
        <f>HYPERLINK("http://www.springer.com/gp/book/9780387495842","Modelling and Numerical Simulations II")</f>
        <v>Modelling and Numerical Simulations II</v>
      </c>
      <c r="F272" s="24">
        <v>2009</v>
      </c>
      <c r="G272" s="25" t="s">
        <v>957</v>
      </c>
      <c r="H272" s="70">
        <v>219.44</v>
      </c>
      <c r="I272" s="26">
        <v>25</v>
      </c>
      <c r="J272" s="68">
        <v>164.58</v>
      </c>
      <c r="K272" s="84">
        <v>189.99</v>
      </c>
      <c r="L272" s="85" t="s">
        <v>958</v>
      </c>
      <c r="M272" s="27" t="s">
        <v>977</v>
      </c>
      <c r="N272" s="25"/>
      <c r="O272" s="20" t="s">
        <v>64</v>
      </c>
      <c r="P272" s="25"/>
      <c r="Q272" s="25" t="s">
        <v>161</v>
      </c>
    </row>
    <row r="273" spans="1:17" ht="13.5" customHeight="1">
      <c r="A273" s="19" t="s">
        <v>65</v>
      </c>
      <c r="B273" s="20" t="s">
        <v>1112</v>
      </c>
      <c r="C273" s="21">
        <v>9783642276262</v>
      </c>
      <c r="D273" s="22" t="s">
        <v>135</v>
      </c>
      <c r="E273" s="23" t="str">
        <f>HYPERLINK("http://www.springer.com/gp/book/9783642276262","Self-Organization in Electrochemical Systems II")</f>
        <v>Self-Organization in Electrochemical Systems II</v>
      </c>
      <c r="F273" s="24">
        <v>2012</v>
      </c>
      <c r="G273" s="25" t="s">
        <v>957</v>
      </c>
      <c r="H273" s="70">
        <v>225.21</v>
      </c>
      <c r="I273" s="26">
        <v>20</v>
      </c>
      <c r="J273" s="68">
        <v>180.17</v>
      </c>
      <c r="K273" s="84">
        <v>194.99</v>
      </c>
      <c r="L273" s="85" t="s">
        <v>958</v>
      </c>
      <c r="M273" s="27" t="s">
        <v>977</v>
      </c>
      <c r="N273" s="25"/>
      <c r="O273" s="20" t="s">
        <v>3</v>
      </c>
      <c r="P273" s="25" t="s">
        <v>136</v>
      </c>
      <c r="Q273" s="25" t="s">
        <v>137</v>
      </c>
    </row>
    <row r="274" spans="1:17" ht="13.5" customHeight="1">
      <c r="A274" s="19" t="s">
        <v>65</v>
      </c>
      <c r="B274" s="20" t="s">
        <v>1112</v>
      </c>
      <c r="C274" s="21">
        <v>9783642276729</v>
      </c>
      <c r="D274" s="22" t="s">
        <v>135</v>
      </c>
      <c r="E274" s="23" t="str">
        <f>HYPERLINK("http://www.springer.com/gp/book/9783642276729","Self-Organization in Electrochemical Systems I")</f>
        <v>Self-Organization in Electrochemical Systems I</v>
      </c>
      <c r="F274" s="24">
        <v>2012</v>
      </c>
      <c r="G274" s="25" t="s">
        <v>957</v>
      </c>
      <c r="H274" s="70">
        <v>230.99</v>
      </c>
      <c r="I274" s="26">
        <v>20</v>
      </c>
      <c r="J274" s="68">
        <v>184.79</v>
      </c>
      <c r="K274" s="84">
        <v>199.99</v>
      </c>
      <c r="L274" s="85" t="s">
        <v>958</v>
      </c>
      <c r="M274" s="27" t="s">
        <v>977</v>
      </c>
      <c r="N274" s="25"/>
      <c r="O274" s="20" t="s">
        <v>3</v>
      </c>
      <c r="P274" s="25" t="s">
        <v>138</v>
      </c>
      <c r="Q274" s="25" t="s">
        <v>137</v>
      </c>
    </row>
    <row r="275" spans="1:17" s="6" customFormat="1" ht="13.5" customHeight="1">
      <c r="A275" s="19" t="s">
        <v>65</v>
      </c>
      <c r="B275" s="20" t="s">
        <v>1112</v>
      </c>
      <c r="C275" s="21">
        <v>9783642342516</v>
      </c>
      <c r="D275" s="22" t="s">
        <v>117</v>
      </c>
      <c r="E275" s="23" t="str">
        <f>HYPERLINK("http://www.springer.com/gp/book/9783642342516","Electrochemical Analysis of Proteins and Cells")</f>
        <v>Electrochemical Analysis of Proteins and Cells</v>
      </c>
      <c r="F275" s="24">
        <v>2013</v>
      </c>
      <c r="G275" s="25" t="s">
        <v>957</v>
      </c>
      <c r="H275" s="70">
        <v>59.07</v>
      </c>
      <c r="I275" s="26">
        <v>20</v>
      </c>
      <c r="J275" s="68">
        <v>47.26</v>
      </c>
      <c r="K275" s="84">
        <v>49.95</v>
      </c>
      <c r="L275" s="85" t="s">
        <v>958</v>
      </c>
      <c r="M275" s="27" t="s">
        <v>995</v>
      </c>
      <c r="N275" s="25"/>
      <c r="O275" s="20" t="s">
        <v>44</v>
      </c>
      <c r="P275" s="25"/>
      <c r="Q275" s="25" t="s">
        <v>118</v>
      </c>
    </row>
    <row r="276" spans="1:17" ht="13.5" customHeight="1">
      <c r="A276" s="19" t="s">
        <v>65</v>
      </c>
      <c r="B276" s="20" t="s">
        <v>1089</v>
      </c>
      <c r="C276" s="21">
        <v>9780751401677</v>
      </c>
      <c r="D276" s="22" t="s">
        <v>139</v>
      </c>
      <c r="E276" s="23" t="str">
        <f>HYPERLINK("http://www.springer.com/gp/book/9780751401677","Packaging of Pharmaceuticals and Healthcare Products")</f>
        <v>Packaging of Pharmaceuticals and Healthcare Products</v>
      </c>
      <c r="F276" s="24">
        <v>1996</v>
      </c>
      <c r="G276" s="25" t="s">
        <v>957</v>
      </c>
      <c r="H276" s="70">
        <v>196.29</v>
      </c>
      <c r="I276" s="26">
        <v>30</v>
      </c>
      <c r="J276" s="68">
        <v>137.4</v>
      </c>
      <c r="K276" s="84">
        <v>169.95</v>
      </c>
      <c r="L276" s="85" t="s">
        <v>958</v>
      </c>
      <c r="M276" s="27" t="s">
        <v>977</v>
      </c>
      <c r="N276" s="25"/>
      <c r="O276" s="20" t="s">
        <v>10</v>
      </c>
      <c r="P276" s="25"/>
      <c r="Q276" s="25"/>
    </row>
    <row r="277" spans="1:17" ht="13.5" customHeight="1">
      <c r="A277" s="19" t="s">
        <v>65</v>
      </c>
      <c r="B277" s="20" t="s">
        <v>1089</v>
      </c>
      <c r="C277" s="21">
        <v>9780387231808</v>
      </c>
      <c r="D277" s="22" t="s">
        <v>101</v>
      </c>
      <c r="E277" s="23" t="str">
        <f>HYPERLINK("http://www.springer.com/gp/book/9780387231808","Modern Food Microbiology")</f>
        <v>Modern Food Microbiology</v>
      </c>
      <c r="F277" s="24">
        <v>2005</v>
      </c>
      <c r="G277" s="25" t="s">
        <v>957</v>
      </c>
      <c r="H277" s="70">
        <v>74.44</v>
      </c>
      <c r="I277" s="26">
        <v>30</v>
      </c>
      <c r="J277" s="68">
        <v>52.11</v>
      </c>
      <c r="K277" s="84">
        <v>62.95</v>
      </c>
      <c r="L277" s="85" t="s">
        <v>958</v>
      </c>
      <c r="M277" s="27" t="s">
        <v>977</v>
      </c>
      <c r="N277" s="25" t="s">
        <v>1075</v>
      </c>
      <c r="O277" s="20" t="s">
        <v>22</v>
      </c>
      <c r="P277" s="25"/>
      <c r="Q277" s="25" t="s">
        <v>102</v>
      </c>
    </row>
    <row r="278" spans="1:17" ht="13.5" customHeight="1">
      <c r="A278" s="19" t="s">
        <v>65</v>
      </c>
      <c r="B278" s="20" t="s">
        <v>1089</v>
      </c>
      <c r="C278" s="21">
        <v>9780387307800</v>
      </c>
      <c r="D278" s="22" t="s">
        <v>149</v>
      </c>
      <c r="E278" s="23" t="str">
        <f>HYPERLINK("http://www.springer.com/gp/book/9780387307800","Physical Properties of Foods")</f>
        <v>Physical Properties of Foods</v>
      </c>
      <c r="F278" s="24">
        <v>2006</v>
      </c>
      <c r="G278" s="25" t="s">
        <v>957</v>
      </c>
      <c r="H278" s="70">
        <v>74.44</v>
      </c>
      <c r="I278" s="26">
        <v>30</v>
      </c>
      <c r="J278" s="68">
        <v>52.11</v>
      </c>
      <c r="K278" s="84">
        <v>62.95</v>
      </c>
      <c r="L278" s="85" t="s">
        <v>958</v>
      </c>
      <c r="M278" s="27" t="s">
        <v>977</v>
      </c>
      <c r="N278" s="25"/>
      <c r="O278" s="20" t="s">
        <v>22</v>
      </c>
      <c r="P278" s="25"/>
      <c r="Q278" s="25" t="s">
        <v>102</v>
      </c>
    </row>
    <row r="279" spans="1:17" ht="13.5" customHeight="1">
      <c r="A279" s="28" t="s">
        <v>65</v>
      </c>
      <c r="B279" s="27" t="s">
        <v>1089</v>
      </c>
      <c r="C279" s="29">
        <v>9783540281986</v>
      </c>
      <c r="D279" s="30" t="s">
        <v>994</v>
      </c>
      <c r="E279" s="31" t="s">
        <v>1088</v>
      </c>
      <c r="F279" s="32">
        <v>2006</v>
      </c>
      <c r="G279" s="33" t="s">
        <v>957</v>
      </c>
      <c r="H279" s="71">
        <v>202.11</v>
      </c>
      <c r="I279" s="26">
        <v>30</v>
      </c>
      <c r="J279" s="68">
        <v>141.48</v>
      </c>
      <c r="K279" s="86">
        <v>174.99</v>
      </c>
      <c r="L279" s="87" t="s">
        <v>958</v>
      </c>
      <c r="M279" s="27" t="s">
        <v>977</v>
      </c>
      <c r="N279" s="29" t="s">
        <v>1061</v>
      </c>
      <c r="O279" s="20" t="s">
        <v>8</v>
      </c>
      <c r="P279" s="27"/>
      <c r="Q279" s="27"/>
    </row>
    <row r="280" spans="1:17" ht="13.5" customHeight="1">
      <c r="A280" s="19" t="s">
        <v>65</v>
      </c>
      <c r="B280" s="20" t="s">
        <v>1089</v>
      </c>
      <c r="C280" s="21">
        <v>9780387790572</v>
      </c>
      <c r="D280" s="22" t="s">
        <v>84</v>
      </c>
      <c r="E280" s="23" t="str">
        <f>HYPERLINK("http://www.springer.com/gp/book/9780387790572","Prebiotics and Probiotics Science and Technology")</f>
        <v>Prebiotics and Probiotics Science and Technology</v>
      </c>
      <c r="F280" s="24">
        <v>2009</v>
      </c>
      <c r="G280" s="25" t="s">
        <v>957</v>
      </c>
      <c r="H280" s="70">
        <v>456.46</v>
      </c>
      <c r="I280" s="26">
        <v>25</v>
      </c>
      <c r="J280" s="68">
        <v>342.35</v>
      </c>
      <c r="K280" s="84">
        <v>399</v>
      </c>
      <c r="L280" s="85" t="s">
        <v>958</v>
      </c>
      <c r="M280" s="27" t="s">
        <v>977</v>
      </c>
      <c r="N280" s="25"/>
      <c r="O280" s="20" t="s">
        <v>8</v>
      </c>
      <c r="P280" s="25"/>
      <c r="Q280" s="25"/>
    </row>
    <row r="281" spans="1:17" ht="13.5" customHeight="1">
      <c r="A281" s="19" t="s">
        <v>65</v>
      </c>
      <c r="B281" s="20" t="s">
        <v>1089</v>
      </c>
      <c r="C281" s="21">
        <v>9781461443094</v>
      </c>
      <c r="D281" s="22" t="s">
        <v>85</v>
      </c>
      <c r="E281" s="23" t="str">
        <f>HYPERLINK("http://www.springer.com/gp/book/9781461443094","Antioxidant Properties of Spices, Herbs and Other Sources")</f>
        <v>Antioxidant Properties of Spices, Herbs and Other Sources</v>
      </c>
      <c r="F281" s="24">
        <v>2013</v>
      </c>
      <c r="G281" s="25" t="s">
        <v>957</v>
      </c>
      <c r="H281" s="70">
        <v>179.01</v>
      </c>
      <c r="I281" s="26">
        <v>20</v>
      </c>
      <c r="J281" s="68">
        <v>143.21</v>
      </c>
      <c r="K281" s="84">
        <v>154.99</v>
      </c>
      <c r="L281" s="85" t="s">
        <v>958</v>
      </c>
      <c r="M281" s="27" t="s">
        <v>977</v>
      </c>
      <c r="N281" s="25"/>
      <c r="O281" s="20" t="s">
        <v>3</v>
      </c>
      <c r="P281" s="25"/>
      <c r="Q281" s="25"/>
    </row>
    <row r="282" spans="1:17" ht="13.5" customHeight="1">
      <c r="A282" s="19" t="s">
        <v>65</v>
      </c>
      <c r="B282" s="20" t="s">
        <v>1089</v>
      </c>
      <c r="C282" s="21">
        <v>9781461456254</v>
      </c>
      <c r="D282" s="22" t="s">
        <v>172</v>
      </c>
      <c r="E282" s="23" t="str">
        <f>HYPERLINK("http://www.springer.com/gp/book/9781461456254","Proteomics in Foods")</f>
        <v>Proteomics in Foods</v>
      </c>
      <c r="F282" s="24">
        <v>2013</v>
      </c>
      <c r="G282" s="25" t="s">
        <v>957</v>
      </c>
      <c r="H282" s="70">
        <v>196.34</v>
      </c>
      <c r="I282" s="26">
        <v>20</v>
      </c>
      <c r="J282" s="68">
        <v>157.07</v>
      </c>
      <c r="K282" s="84">
        <v>169.99</v>
      </c>
      <c r="L282" s="85" t="s">
        <v>958</v>
      </c>
      <c r="M282" s="27" t="s">
        <v>977</v>
      </c>
      <c r="N282" s="25"/>
      <c r="O282" s="20" t="s">
        <v>10</v>
      </c>
      <c r="P282" s="25" t="s">
        <v>173</v>
      </c>
      <c r="Q282" s="25" t="s">
        <v>174</v>
      </c>
    </row>
    <row r="283" spans="1:17" ht="13.5" customHeight="1">
      <c r="A283" s="28" t="s">
        <v>65</v>
      </c>
      <c r="B283" s="27" t="s">
        <v>1092</v>
      </c>
      <c r="C283" s="29">
        <v>9783540570059</v>
      </c>
      <c r="D283" s="30" t="s">
        <v>992</v>
      </c>
      <c r="E283" s="31" t="s">
        <v>993</v>
      </c>
      <c r="F283" s="32">
        <v>2003</v>
      </c>
      <c r="G283" s="33" t="s">
        <v>957</v>
      </c>
      <c r="H283" s="71">
        <v>142.05</v>
      </c>
      <c r="I283" s="26">
        <v>30</v>
      </c>
      <c r="J283" s="68">
        <v>99.44</v>
      </c>
      <c r="K283" s="86">
        <v>122.99</v>
      </c>
      <c r="L283" s="87" t="s">
        <v>958</v>
      </c>
      <c r="M283" s="27" t="s">
        <v>977</v>
      </c>
      <c r="N283" s="29" t="s">
        <v>1061</v>
      </c>
      <c r="O283" s="20" t="s">
        <v>3</v>
      </c>
      <c r="P283" s="27"/>
      <c r="Q283" s="27"/>
    </row>
    <row r="284" spans="1:17" s="6" customFormat="1" ht="13.5" customHeight="1">
      <c r="A284" s="19" t="s">
        <v>65</v>
      </c>
      <c r="B284" s="20" t="s">
        <v>1354</v>
      </c>
      <c r="C284" s="21">
        <v>9783540739616</v>
      </c>
      <c r="D284" s="22" t="s">
        <v>146</v>
      </c>
      <c r="E284" s="23" t="str">
        <f>HYPERLINK("http://www.springer.com/gp/book/9783540739616","Inorganic Reactions in Water")</f>
        <v>Inorganic Reactions in Water</v>
      </c>
      <c r="F284" s="24">
        <v>2007</v>
      </c>
      <c r="G284" s="25" t="s">
        <v>957</v>
      </c>
      <c r="H284" s="70">
        <v>322.25</v>
      </c>
      <c r="I284" s="26">
        <v>30</v>
      </c>
      <c r="J284" s="68">
        <v>225.58</v>
      </c>
      <c r="K284" s="84">
        <v>279</v>
      </c>
      <c r="L284" s="85" t="s">
        <v>958</v>
      </c>
      <c r="M284" s="27" t="s">
        <v>977</v>
      </c>
      <c r="N284" s="25"/>
      <c r="O284" s="20" t="s">
        <v>98</v>
      </c>
      <c r="P284" s="25"/>
      <c r="Q284" s="25"/>
    </row>
    <row r="285" spans="1:17" ht="13.5" customHeight="1">
      <c r="A285" s="19" t="s">
        <v>65</v>
      </c>
      <c r="B285" s="20" t="s">
        <v>1354</v>
      </c>
      <c r="C285" s="21">
        <v>9783540778363</v>
      </c>
      <c r="D285" s="22" t="s">
        <v>67</v>
      </c>
      <c r="E285" s="23" t="str">
        <f>HYPERLINK("http://www.springer.com/gp/book/9783540778363","Organometallic and Coordination Chemistry of the Actinides")</f>
        <v>Organometallic and Coordination Chemistry of the Actinides</v>
      </c>
      <c r="F285" s="24">
        <v>2008</v>
      </c>
      <c r="G285" s="25" t="s">
        <v>957</v>
      </c>
      <c r="H285" s="70">
        <v>333.8</v>
      </c>
      <c r="I285" s="26">
        <v>25</v>
      </c>
      <c r="J285" s="68">
        <v>250.35</v>
      </c>
      <c r="K285" s="84">
        <v>289</v>
      </c>
      <c r="L285" s="85" t="s">
        <v>958</v>
      </c>
      <c r="M285" s="27" t="s">
        <v>977</v>
      </c>
      <c r="N285" s="25"/>
      <c r="O285" s="20" t="s">
        <v>64</v>
      </c>
      <c r="P285" s="25"/>
      <c r="Q285" s="25" t="s">
        <v>68</v>
      </c>
    </row>
    <row r="286" spans="1:17" ht="13.5" customHeight="1">
      <c r="A286" s="19" t="s">
        <v>65</v>
      </c>
      <c r="B286" s="20" t="s">
        <v>1354</v>
      </c>
      <c r="C286" s="21">
        <v>9783540778660</v>
      </c>
      <c r="D286" s="22" t="s">
        <v>103</v>
      </c>
      <c r="E286" s="23" t="str">
        <f>HYPERLINK("http://www.springer.com/gp/book/9783540778660","Liquid Crystalline Functional Assemblies and Their Supramolecular Structures")</f>
        <v>Liquid Crystalline Functional Assemblies and Their Supramolecular Structures</v>
      </c>
      <c r="F286" s="24">
        <v>2008</v>
      </c>
      <c r="G286" s="25" t="s">
        <v>957</v>
      </c>
      <c r="H286" s="70">
        <v>333.8</v>
      </c>
      <c r="I286" s="26">
        <v>25</v>
      </c>
      <c r="J286" s="68">
        <v>250.35</v>
      </c>
      <c r="K286" s="84">
        <v>289</v>
      </c>
      <c r="L286" s="85" t="s">
        <v>958</v>
      </c>
      <c r="M286" s="27" t="s">
        <v>977</v>
      </c>
      <c r="N286" s="25"/>
      <c r="O286" s="20" t="s">
        <v>64</v>
      </c>
      <c r="P286" s="25"/>
      <c r="Q286" s="25" t="s">
        <v>104</v>
      </c>
    </row>
    <row r="287" spans="1:17" ht="13.5" customHeight="1">
      <c r="A287" s="19" t="s">
        <v>65</v>
      </c>
      <c r="B287" s="20" t="s">
        <v>1354</v>
      </c>
      <c r="C287" s="21">
        <v>9783540786337</v>
      </c>
      <c r="D287" s="22" t="s">
        <v>123</v>
      </c>
      <c r="E287" s="23" t="str">
        <f>HYPERLINK("http://www.springer.com/gp/book/9783540786337","Contemporary Metal Boron Chemistry I")</f>
        <v>Contemporary Metal Boron Chemistry I</v>
      </c>
      <c r="F287" s="24">
        <v>2008</v>
      </c>
      <c r="G287" s="25" t="s">
        <v>957</v>
      </c>
      <c r="H287" s="70">
        <v>333.8</v>
      </c>
      <c r="I287" s="26">
        <v>25</v>
      </c>
      <c r="J287" s="68">
        <v>250.35</v>
      </c>
      <c r="K287" s="84">
        <v>289</v>
      </c>
      <c r="L287" s="85" t="s">
        <v>958</v>
      </c>
      <c r="M287" s="27" t="s">
        <v>977</v>
      </c>
      <c r="N287" s="25"/>
      <c r="O287" s="20" t="s">
        <v>64</v>
      </c>
      <c r="P287" s="25" t="s">
        <v>126</v>
      </c>
      <c r="Q287" s="25" t="s">
        <v>127</v>
      </c>
    </row>
    <row r="288" spans="1:17" ht="13.5" customHeight="1">
      <c r="A288" s="19" t="s">
        <v>65</v>
      </c>
      <c r="B288" s="20" t="s">
        <v>1354</v>
      </c>
      <c r="C288" s="21">
        <v>9783540790914</v>
      </c>
      <c r="D288" s="22" t="s">
        <v>178</v>
      </c>
      <c r="E288" s="23" t="str">
        <f>HYPERLINK("http://www.springer.com/gp/book/9783540790914","Recognition of Anions")</f>
        <v>Recognition of Anions</v>
      </c>
      <c r="F288" s="24">
        <v>2008</v>
      </c>
      <c r="G288" s="25" t="s">
        <v>957</v>
      </c>
      <c r="H288" s="70">
        <v>399.26</v>
      </c>
      <c r="I288" s="26">
        <v>25</v>
      </c>
      <c r="J288" s="68">
        <v>299.45</v>
      </c>
      <c r="K288" s="84">
        <v>349</v>
      </c>
      <c r="L288" s="85" t="s">
        <v>958</v>
      </c>
      <c r="M288" s="27" t="s">
        <v>977</v>
      </c>
      <c r="N288" s="25"/>
      <c r="O288" s="20" t="s">
        <v>64</v>
      </c>
      <c r="P288" s="25"/>
      <c r="Q288" s="25" t="s">
        <v>179</v>
      </c>
    </row>
    <row r="289" spans="1:17" ht="13.5" customHeight="1">
      <c r="A289" s="19" t="s">
        <v>65</v>
      </c>
      <c r="B289" s="20" t="s">
        <v>1354</v>
      </c>
      <c r="C289" s="21">
        <v>9783540691143</v>
      </c>
      <c r="D289" s="22" t="s">
        <v>119</v>
      </c>
      <c r="E289" s="23" t="str">
        <f>HYPERLINK("http://www.springer.com/gp/book/9783540691143","Molecular Thermodynamics of Complex Systems")</f>
        <v>Molecular Thermodynamics of Complex Systems</v>
      </c>
      <c r="F289" s="24">
        <v>2009</v>
      </c>
      <c r="G289" s="25" t="s">
        <v>957</v>
      </c>
      <c r="H289" s="70">
        <v>376.38</v>
      </c>
      <c r="I289" s="26">
        <v>25</v>
      </c>
      <c r="J289" s="68">
        <v>282.29</v>
      </c>
      <c r="K289" s="84">
        <v>329</v>
      </c>
      <c r="L289" s="85" t="s">
        <v>958</v>
      </c>
      <c r="M289" s="27" t="s">
        <v>977</v>
      </c>
      <c r="N289" s="25"/>
      <c r="O289" s="20" t="s">
        <v>64</v>
      </c>
      <c r="P289" s="25"/>
      <c r="Q289" s="25" t="s">
        <v>120</v>
      </c>
    </row>
    <row r="290" spans="1:17" ht="13.5" customHeight="1">
      <c r="A290" s="19" t="s">
        <v>65</v>
      </c>
      <c r="B290" s="20" t="s">
        <v>1350</v>
      </c>
      <c r="C290" s="21">
        <v>9781402068447</v>
      </c>
      <c r="D290" s="22" t="s">
        <v>82</v>
      </c>
      <c r="E290" s="23" t="str">
        <f>HYPERLINK("http://www.springer.com/gp/book/9781402068447","Medicinal Chemistry and Pharmacological Potential of Fullerenes and Carbon Nanotubes")</f>
        <v>Medicinal Chemistry and Pharmacological Potential of Fullerenes and Carbon Nanotubes</v>
      </c>
      <c r="F290" s="24">
        <v>2008</v>
      </c>
      <c r="G290" s="25" t="s">
        <v>957</v>
      </c>
      <c r="H290" s="70">
        <v>225.21</v>
      </c>
      <c r="I290" s="26">
        <v>25</v>
      </c>
      <c r="J290" s="68">
        <v>168.91</v>
      </c>
      <c r="K290" s="84">
        <v>194.99</v>
      </c>
      <c r="L290" s="85" t="s">
        <v>958</v>
      </c>
      <c r="M290" s="27" t="s">
        <v>977</v>
      </c>
      <c r="N290" s="25"/>
      <c r="O290" s="20" t="s">
        <v>10</v>
      </c>
      <c r="P290" s="25"/>
      <c r="Q290" s="25" t="s">
        <v>83</v>
      </c>
    </row>
    <row r="291" spans="1:17" ht="13.5" customHeight="1">
      <c r="A291" s="19" t="s">
        <v>65</v>
      </c>
      <c r="B291" s="20" t="s">
        <v>1350</v>
      </c>
      <c r="C291" s="21">
        <v>9783540742289</v>
      </c>
      <c r="D291" s="22" t="s">
        <v>72</v>
      </c>
      <c r="E291" s="23" t="str">
        <f>HYPERLINK("http://www.springer.com/gp/book/9783540742289","Alzheimer's Disease")</f>
        <v>Alzheimer's Disease</v>
      </c>
      <c r="F291" s="24">
        <v>2008</v>
      </c>
      <c r="G291" s="25" t="s">
        <v>957</v>
      </c>
      <c r="H291" s="70">
        <v>276.05</v>
      </c>
      <c r="I291" s="26">
        <v>25</v>
      </c>
      <c r="J291" s="68">
        <v>207.04</v>
      </c>
      <c r="K291" s="84">
        <v>239</v>
      </c>
      <c r="L291" s="85" t="s">
        <v>958</v>
      </c>
      <c r="M291" s="27" t="s">
        <v>977</v>
      </c>
      <c r="N291" s="25"/>
      <c r="O291" s="20" t="s">
        <v>64</v>
      </c>
      <c r="P291" s="25"/>
      <c r="Q291" s="25" t="s">
        <v>73</v>
      </c>
    </row>
    <row r="292" spans="1:17" ht="13.5" customHeight="1">
      <c r="A292" s="19" t="s">
        <v>65</v>
      </c>
      <c r="B292" s="20" t="s">
        <v>1350</v>
      </c>
      <c r="C292" s="21">
        <v>9783540797289</v>
      </c>
      <c r="D292" s="22" t="s">
        <v>91</v>
      </c>
      <c r="E292" s="23" t="str">
        <f>HYPERLINK("http://www.springer.com/gp/book/9783540797289","Ion Channels")</f>
        <v>Ion Channels</v>
      </c>
      <c r="F292" s="24">
        <v>2008</v>
      </c>
      <c r="G292" s="25" t="s">
        <v>957</v>
      </c>
      <c r="H292" s="70">
        <v>322.25</v>
      </c>
      <c r="I292" s="26">
        <v>25</v>
      </c>
      <c r="J292" s="68">
        <v>241.69</v>
      </c>
      <c r="K292" s="84">
        <v>279</v>
      </c>
      <c r="L292" s="85" t="s">
        <v>958</v>
      </c>
      <c r="M292" s="27" t="s">
        <v>977</v>
      </c>
      <c r="N292" s="25"/>
      <c r="O292" s="20" t="s">
        <v>64</v>
      </c>
      <c r="P292" s="25"/>
      <c r="Q292" s="25" t="s">
        <v>92</v>
      </c>
    </row>
    <row r="293" spans="1:17" ht="13.5" customHeight="1">
      <c r="A293" s="19" t="s">
        <v>65</v>
      </c>
      <c r="B293" s="20" t="s">
        <v>1350</v>
      </c>
      <c r="C293" s="21">
        <v>9783540690368</v>
      </c>
      <c r="D293" s="22" t="s">
        <v>79</v>
      </c>
      <c r="E293" s="23" t="str">
        <f>HYPERLINK("http://www.springer.com/gp/book/9783540690368","Tubulin-Binding Agents")</f>
        <v>Tubulin-Binding Agents</v>
      </c>
      <c r="F293" s="24">
        <v>2009</v>
      </c>
      <c r="G293" s="25" t="s">
        <v>957</v>
      </c>
      <c r="H293" s="70">
        <v>433.58</v>
      </c>
      <c r="I293" s="26">
        <v>25</v>
      </c>
      <c r="J293" s="68">
        <v>325.19</v>
      </c>
      <c r="K293" s="84">
        <v>379</v>
      </c>
      <c r="L293" s="85" t="s">
        <v>958</v>
      </c>
      <c r="M293" s="27" t="s">
        <v>977</v>
      </c>
      <c r="N293" s="25"/>
      <c r="O293" s="20" t="s">
        <v>64</v>
      </c>
      <c r="P293" s="25" t="s">
        <v>80</v>
      </c>
      <c r="Q293" s="25" t="s">
        <v>81</v>
      </c>
    </row>
    <row r="294" spans="1:17" ht="13.5" customHeight="1">
      <c r="A294" s="19" t="s">
        <v>65</v>
      </c>
      <c r="B294" s="20" t="s">
        <v>1350</v>
      </c>
      <c r="C294" s="21">
        <v>9789048125814</v>
      </c>
      <c r="D294" s="22" t="s">
        <v>86</v>
      </c>
      <c r="E294" s="23" t="str">
        <f>HYPERLINK("http://www.springer.com/gp/book/9789048125814","Supramolecular Chemistry")</f>
        <v>Supramolecular Chemistry</v>
      </c>
      <c r="F294" s="24">
        <v>2010</v>
      </c>
      <c r="G294" s="25" t="s">
        <v>957</v>
      </c>
      <c r="H294" s="70">
        <v>150.14</v>
      </c>
      <c r="I294" s="26">
        <v>25</v>
      </c>
      <c r="J294" s="68">
        <v>112.61</v>
      </c>
      <c r="K294" s="84">
        <v>129.99</v>
      </c>
      <c r="L294" s="85" t="s">
        <v>958</v>
      </c>
      <c r="M294" s="27" t="s">
        <v>977</v>
      </c>
      <c r="N294" s="25"/>
      <c r="O294" s="20" t="s">
        <v>3</v>
      </c>
      <c r="P294" s="25" t="s">
        <v>87</v>
      </c>
      <c r="Q294" s="25"/>
    </row>
    <row r="295" spans="1:17" s="6" customFormat="1" ht="13.5" customHeight="1">
      <c r="A295" s="19" t="s">
        <v>65</v>
      </c>
      <c r="B295" s="20" t="s">
        <v>1353</v>
      </c>
      <c r="C295" s="21">
        <v>9783540260646</v>
      </c>
      <c r="D295" s="22" t="s">
        <v>115</v>
      </c>
      <c r="E295" s="23" t="str">
        <f>HYPERLINK("http://www.springer.com/gp/book/9783540260646","Chiral Diazaligands for Asymmetric Synthesis")</f>
        <v>Chiral Diazaligands for Asymmetric Synthesis</v>
      </c>
      <c r="F295" s="24">
        <v>2005</v>
      </c>
      <c r="G295" s="25" t="s">
        <v>957</v>
      </c>
      <c r="H295" s="70">
        <v>433.58</v>
      </c>
      <c r="I295" s="26">
        <v>30</v>
      </c>
      <c r="J295" s="68">
        <v>303.51</v>
      </c>
      <c r="K295" s="84">
        <v>379</v>
      </c>
      <c r="L295" s="85" t="s">
        <v>958</v>
      </c>
      <c r="M295" s="27" t="s">
        <v>977</v>
      </c>
      <c r="N295" s="25"/>
      <c r="O295" s="20" t="s">
        <v>64</v>
      </c>
      <c r="P295" s="25"/>
      <c r="Q295" s="25" t="s">
        <v>116</v>
      </c>
    </row>
    <row r="296" spans="1:17" ht="13.5" customHeight="1">
      <c r="A296" s="19" t="s">
        <v>65</v>
      </c>
      <c r="B296" s="20" t="s">
        <v>1353</v>
      </c>
      <c r="C296" s="21">
        <v>9783540710745</v>
      </c>
      <c r="D296" s="22" t="s">
        <v>113</v>
      </c>
      <c r="E296" s="23" t="str">
        <f>HYPERLINK("http://www.springer.com/gp/book/9783540710745","Regulated Systems for Multiphase Catalysis")</f>
        <v>Regulated Systems for Multiphase Catalysis</v>
      </c>
      <c r="F296" s="24">
        <v>2008</v>
      </c>
      <c r="G296" s="25" t="s">
        <v>957</v>
      </c>
      <c r="H296" s="70">
        <v>241.4</v>
      </c>
      <c r="I296" s="26">
        <v>25</v>
      </c>
      <c r="J296" s="68">
        <v>181.05</v>
      </c>
      <c r="K296" s="84">
        <v>209</v>
      </c>
      <c r="L296" s="85" t="s">
        <v>958</v>
      </c>
      <c r="M296" s="27" t="s">
        <v>977</v>
      </c>
      <c r="N296" s="25"/>
      <c r="O296" s="20" t="s">
        <v>64</v>
      </c>
      <c r="P296" s="25"/>
      <c r="Q296" s="25" t="s">
        <v>114</v>
      </c>
    </row>
    <row r="297" spans="1:17" ht="13.5" customHeight="1">
      <c r="A297" s="19" t="s">
        <v>65</v>
      </c>
      <c r="B297" s="20" t="s">
        <v>1352</v>
      </c>
      <c r="C297" s="21">
        <v>9783540292135</v>
      </c>
      <c r="D297" s="22" t="s">
        <v>177</v>
      </c>
      <c r="E297" s="23" t="str">
        <f>HYPERLINK("http://www.springer.com/gp/book/9783540292135","Classical Nucleation Theory in Multicomponent Systems")</f>
        <v>Classical Nucleation Theory in Multicomponent Systems</v>
      </c>
      <c r="F297" s="24">
        <v>2006</v>
      </c>
      <c r="G297" s="25" t="s">
        <v>957</v>
      </c>
      <c r="H297" s="70">
        <v>121.22</v>
      </c>
      <c r="I297" s="26">
        <v>30</v>
      </c>
      <c r="J297" s="68">
        <v>84.85</v>
      </c>
      <c r="K297" s="84">
        <v>104.95</v>
      </c>
      <c r="L297" s="85" t="s">
        <v>958</v>
      </c>
      <c r="M297" s="27" t="s">
        <v>977</v>
      </c>
      <c r="N297" s="25"/>
      <c r="O297" s="20" t="s">
        <v>22</v>
      </c>
      <c r="P297" s="25"/>
      <c r="Q297" s="25"/>
    </row>
    <row r="298" spans="1:17" ht="13.5" customHeight="1">
      <c r="A298" s="19" t="s">
        <v>65</v>
      </c>
      <c r="B298" s="20" t="s">
        <v>1352</v>
      </c>
      <c r="C298" s="21">
        <v>9783642317293</v>
      </c>
      <c r="D298" s="22" t="s">
        <v>165</v>
      </c>
      <c r="E298" s="23" t="str">
        <f>HYPERLINK("http://www.springer.com/gp/book/9783642317293","Astrochemistry and Astrobiology")</f>
        <v>Astrochemistry and Astrobiology</v>
      </c>
      <c r="F298" s="24">
        <v>2013</v>
      </c>
      <c r="G298" s="25" t="s">
        <v>957</v>
      </c>
      <c r="H298" s="70">
        <v>173.24</v>
      </c>
      <c r="I298" s="26">
        <v>20</v>
      </c>
      <c r="J298" s="68">
        <v>138.59</v>
      </c>
      <c r="K298" s="84">
        <v>149.99</v>
      </c>
      <c r="L298" s="85" t="s">
        <v>958</v>
      </c>
      <c r="M298" s="27" t="s">
        <v>977</v>
      </c>
      <c r="N298" s="25"/>
      <c r="O298" s="20" t="s">
        <v>3</v>
      </c>
      <c r="P298" s="25"/>
      <c r="Q298" s="25" t="s">
        <v>166</v>
      </c>
    </row>
    <row r="299" spans="1:17" ht="13.5" customHeight="1">
      <c r="A299" s="19" t="s">
        <v>65</v>
      </c>
      <c r="B299" s="20" t="s">
        <v>1351</v>
      </c>
      <c r="C299" s="21">
        <v>9783540698074</v>
      </c>
      <c r="D299" s="22" t="s">
        <v>106</v>
      </c>
      <c r="E299" s="23" t="str">
        <f>HYPERLINK("http://www.springer.com/gp/book/9783540698074","New Frontiers in Polymer Synthesis")</f>
        <v>New Frontiers in Polymer Synthesis</v>
      </c>
      <c r="F299" s="24">
        <v>2008</v>
      </c>
      <c r="G299" s="25" t="s">
        <v>957</v>
      </c>
      <c r="H299" s="70">
        <v>252.95</v>
      </c>
      <c r="I299" s="26">
        <v>25</v>
      </c>
      <c r="J299" s="68">
        <v>189.71</v>
      </c>
      <c r="K299" s="84">
        <v>219</v>
      </c>
      <c r="L299" s="85" t="s">
        <v>958</v>
      </c>
      <c r="M299" s="27" t="s">
        <v>977</v>
      </c>
      <c r="N299" s="25"/>
      <c r="O299" s="20" t="s">
        <v>64</v>
      </c>
      <c r="P299" s="25"/>
      <c r="Q299" s="25" t="s">
        <v>107</v>
      </c>
    </row>
    <row r="300" spans="1:17" ht="13.5" customHeight="1">
      <c r="A300" s="19" t="s">
        <v>65</v>
      </c>
      <c r="B300" s="20" t="s">
        <v>1351</v>
      </c>
      <c r="C300" s="21">
        <v>9783540851042</v>
      </c>
      <c r="D300" s="22" t="s">
        <v>162</v>
      </c>
      <c r="E300" s="23" t="str">
        <f>HYPERLINK("http://www.springer.com/gp/book/9783540851042","Self-Assembled Nanomaterials II")</f>
        <v>Self-Assembled Nanomaterials II</v>
      </c>
      <c r="F300" s="24">
        <v>2008</v>
      </c>
      <c r="G300" s="25" t="s">
        <v>957</v>
      </c>
      <c r="H300" s="70">
        <v>299.15</v>
      </c>
      <c r="I300" s="26">
        <v>25</v>
      </c>
      <c r="J300" s="68">
        <v>224.36</v>
      </c>
      <c r="K300" s="84">
        <v>259</v>
      </c>
      <c r="L300" s="85" t="s">
        <v>958</v>
      </c>
      <c r="M300" s="27" t="s">
        <v>977</v>
      </c>
      <c r="N300" s="25"/>
      <c r="O300" s="20" t="s">
        <v>64</v>
      </c>
      <c r="P300" s="25" t="s">
        <v>163</v>
      </c>
      <c r="Q300" s="25" t="s">
        <v>164</v>
      </c>
    </row>
    <row r="301" spans="1:17" ht="13.5" customHeight="1">
      <c r="A301" s="19" t="s">
        <v>65</v>
      </c>
      <c r="B301" s="20" t="s">
        <v>1351</v>
      </c>
      <c r="C301" s="21">
        <v>9783540694489</v>
      </c>
      <c r="D301" s="22" t="s">
        <v>123</v>
      </c>
      <c r="E301" s="23" t="str">
        <f>HYPERLINK("http://www.springer.com/gp/book/9783540694489","Photoresponsive Polymers I")</f>
        <v>Photoresponsive Polymers I</v>
      </c>
      <c r="F301" s="24">
        <v>2008</v>
      </c>
      <c r="G301" s="25" t="s">
        <v>957</v>
      </c>
      <c r="H301" s="70">
        <v>310.7</v>
      </c>
      <c r="I301" s="26">
        <v>25</v>
      </c>
      <c r="J301" s="68">
        <v>233.03</v>
      </c>
      <c r="K301" s="84">
        <v>269</v>
      </c>
      <c r="L301" s="85" t="s">
        <v>958</v>
      </c>
      <c r="M301" s="27" t="s">
        <v>977</v>
      </c>
      <c r="N301" s="25"/>
      <c r="O301" s="20" t="s">
        <v>64</v>
      </c>
      <c r="P301" s="25"/>
      <c r="Q301" s="25" t="s">
        <v>125</v>
      </c>
    </row>
    <row r="302" spans="1:17" ht="13.5" customHeight="1">
      <c r="A302" s="19" t="s">
        <v>65</v>
      </c>
      <c r="B302" s="20" t="s">
        <v>1351</v>
      </c>
      <c r="C302" s="21">
        <v>9783540694526</v>
      </c>
      <c r="D302" s="22" t="s">
        <v>123</v>
      </c>
      <c r="E302" s="23" t="str">
        <f>HYPERLINK("http://www.springer.com/gp/book/9783540694526","Photoresponsive Polymers II")</f>
        <v>Photoresponsive Polymers II</v>
      </c>
      <c r="F302" s="24">
        <v>2008</v>
      </c>
      <c r="G302" s="25" t="s">
        <v>957</v>
      </c>
      <c r="H302" s="70">
        <v>333.8</v>
      </c>
      <c r="I302" s="26">
        <v>25</v>
      </c>
      <c r="J302" s="68">
        <v>250.35</v>
      </c>
      <c r="K302" s="84">
        <v>289</v>
      </c>
      <c r="L302" s="85" t="s">
        <v>958</v>
      </c>
      <c r="M302" s="27" t="s">
        <v>977</v>
      </c>
      <c r="N302" s="25"/>
      <c r="O302" s="20" t="s">
        <v>64</v>
      </c>
      <c r="P302" s="25"/>
      <c r="Q302" s="25" t="s">
        <v>124</v>
      </c>
    </row>
    <row r="303" spans="1:17" ht="13.5" customHeight="1">
      <c r="A303" s="19" t="s">
        <v>65</v>
      </c>
      <c r="B303" s="20" t="s">
        <v>1351</v>
      </c>
      <c r="C303" s="21">
        <v>9783540787624</v>
      </c>
      <c r="D303" s="22" t="s">
        <v>62</v>
      </c>
      <c r="E303" s="23" t="str">
        <f>HYPERLINK("http://www.springer.com/gp/book/9783540787624","Chromatography for Sustainable Polymeric Materials")</f>
        <v>Chromatography for Sustainable Polymeric Materials</v>
      </c>
      <c r="F303" s="24">
        <v>2008</v>
      </c>
      <c r="G303" s="25" t="s">
        <v>957</v>
      </c>
      <c r="H303" s="70">
        <v>333.8</v>
      </c>
      <c r="I303" s="26">
        <v>25</v>
      </c>
      <c r="J303" s="68">
        <v>250.35</v>
      </c>
      <c r="K303" s="84">
        <v>289</v>
      </c>
      <c r="L303" s="85" t="s">
        <v>958</v>
      </c>
      <c r="M303" s="27" t="s">
        <v>977</v>
      </c>
      <c r="N303" s="25"/>
      <c r="O303" s="20" t="s">
        <v>64</v>
      </c>
      <c r="P303" s="25" t="s">
        <v>63</v>
      </c>
      <c r="Q303" s="25" t="s">
        <v>66</v>
      </c>
    </row>
    <row r="304" spans="1:17" s="6" customFormat="1" ht="13.5" customHeight="1">
      <c r="A304" s="19" t="s">
        <v>65</v>
      </c>
      <c r="B304" s="20" t="s">
        <v>1351</v>
      </c>
      <c r="C304" s="21">
        <v>9783540697558</v>
      </c>
      <c r="D304" s="22" t="s">
        <v>155</v>
      </c>
      <c r="E304" s="23" t="str">
        <f>HYPERLINK("http://www.springer.com/gp/book/9783540697558","Fuel Cells I")</f>
        <v>Fuel Cells I</v>
      </c>
      <c r="F304" s="24">
        <v>2008</v>
      </c>
      <c r="G304" s="25" t="s">
        <v>957</v>
      </c>
      <c r="H304" s="70">
        <v>399.26</v>
      </c>
      <c r="I304" s="26">
        <v>25</v>
      </c>
      <c r="J304" s="68">
        <v>299.45</v>
      </c>
      <c r="K304" s="84">
        <v>349</v>
      </c>
      <c r="L304" s="85" t="s">
        <v>958</v>
      </c>
      <c r="M304" s="27" t="s">
        <v>977</v>
      </c>
      <c r="N304" s="25"/>
      <c r="O304" s="20" t="s">
        <v>64</v>
      </c>
      <c r="P304" s="25"/>
      <c r="Q304" s="25" t="s">
        <v>156</v>
      </c>
    </row>
    <row r="305" spans="1:17" ht="13.5" customHeight="1">
      <c r="A305" s="19" t="s">
        <v>65</v>
      </c>
      <c r="B305" s="20" t="s">
        <v>1351</v>
      </c>
      <c r="C305" s="21">
        <v>9783540697633</v>
      </c>
      <c r="D305" s="22" t="s">
        <v>155</v>
      </c>
      <c r="E305" s="23" t="str">
        <f>HYPERLINK("http://www.springer.com/gp/book/9783540697633","Fuel Cells II")</f>
        <v>Fuel Cells II</v>
      </c>
      <c r="F305" s="24">
        <v>2008</v>
      </c>
      <c r="G305" s="25" t="s">
        <v>957</v>
      </c>
      <c r="H305" s="70">
        <v>399.26</v>
      </c>
      <c r="I305" s="26">
        <v>25</v>
      </c>
      <c r="J305" s="68">
        <v>299.45</v>
      </c>
      <c r="K305" s="84">
        <v>349</v>
      </c>
      <c r="L305" s="85" t="s">
        <v>958</v>
      </c>
      <c r="M305" s="27" t="s">
        <v>977</v>
      </c>
      <c r="N305" s="25"/>
      <c r="O305" s="20" t="s">
        <v>64</v>
      </c>
      <c r="P305" s="25"/>
      <c r="Q305" s="25" t="s">
        <v>157</v>
      </c>
    </row>
    <row r="306" spans="1:17" s="6" customFormat="1" ht="13.5" customHeight="1">
      <c r="A306" s="19" t="s">
        <v>65</v>
      </c>
      <c r="B306" s="20" t="s">
        <v>1351</v>
      </c>
      <c r="C306" s="21">
        <v>9783540687337</v>
      </c>
      <c r="D306" s="22" t="s">
        <v>158</v>
      </c>
      <c r="E306" s="23" t="str">
        <f>HYPERLINK("http://www.springer.com/gp/book/9783540687337","Polyfluorenes")</f>
        <v>Polyfluorenes</v>
      </c>
      <c r="F306" s="24">
        <v>2008</v>
      </c>
      <c r="G306" s="25" t="s">
        <v>957</v>
      </c>
      <c r="H306" s="70">
        <v>433.58</v>
      </c>
      <c r="I306" s="26">
        <v>25</v>
      </c>
      <c r="J306" s="68">
        <v>325.19</v>
      </c>
      <c r="K306" s="84">
        <v>379</v>
      </c>
      <c r="L306" s="85" t="s">
        <v>958</v>
      </c>
      <c r="M306" s="27" t="s">
        <v>977</v>
      </c>
      <c r="N306" s="25"/>
      <c r="O306" s="20" t="s">
        <v>64</v>
      </c>
      <c r="P306" s="25"/>
      <c r="Q306" s="25" t="s">
        <v>159</v>
      </c>
    </row>
    <row r="307" spans="1:17" ht="13.5" customHeight="1">
      <c r="A307" s="19" t="s">
        <v>65</v>
      </c>
      <c r="B307" s="20" t="s">
        <v>1351</v>
      </c>
      <c r="C307" s="21">
        <v>9783540783947</v>
      </c>
      <c r="D307" s="22" t="s">
        <v>150</v>
      </c>
      <c r="E307" s="23" t="str">
        <f>HYPERLINK("http://www.springer.com/gp/book/9783540783947","STM and AFM Studies on (Bio)molecular Systems: Unravelling the Nanoworld")</f>
        <v>STM and AFM Studies on (Bio)molecular Systems: Unravelling the Nanoworld</v>
      </c>
      <c r="F307" s="24">
        <v>2008</v>
      </c>
      <c r="G307" s="25" t="s">
        <v>957</v>
      </c>
      <c r="H307" s="70">
        <v>433.58</v>
      </c>
      <c r="I307" s="26">
        <v>25</v>
      </c>
      <c r="J307" s="68">
        <v>325.19</v>
      </c>
      <c r="K307" s="84">
        <v>379</v>
      </c>
      <c r="L307" s="85" t="s">
        <v>958</v>
      </c>
      <c r="M307" s="27" t="s">
        <v>977</v>
      </c>
      <c r="N307" s="25"/>
      <c r="O307" s="20" t="s">
        <v>64</v>
      </c>
      <c r="P307" s="25"/>
      <c r="Q307" s="25" t="s">
        <v>151</v>
      </c>
    </row>
    <row r="308" spans="1:17" ht="13.5" customHeight="1">
      <c r="A308" s="19" t="s">
        <v>65</v>
      </c>
      <c r="B308" s="20" t="s">
        <v>1351</v>
      </c>
      <c r="C308" s="21">
        <v>9783709106693</v>
      </c>
      <c r="D308" s="22" t="s">
        <v>99</v>
      </c>
      <c r="E308" s="23" t="str">
        <f>HYPERLINK("http://www.springer.com/gp/book/9783709106693","Polymer Physics")</f>
        <v>Polymer Physics</v>
      </c>
      <c r="F308" s="24">
        <v>2013</v>
      </c>
      <c r="G308" s="25" t="s">
        <v>957</v>
      </c>
      <c r="H308" s="70">
        <v>127.04</v>
      </c>
      <c r="I308" s="26">
        <v>20</v>
      </c>
      <c r="J308" s="68">
        <v>101.63</v>
      </c>
      <c r="K308" s="84">
        <v>109.99</v>
      </c>
      <c r="L308" s="85" t="s">
        <v>958</v>
      </c>
      <c r="M308" s="27" t="s">
        <v>977</v>
      </c>
      <c r="N308" s="25"/>
      <c r="O308" s="20" t="s">
        <v>3</v>
      </c>
      <c r="P308" s="25" t="s">
        <v>100</v>
      </c>
      <c r="Q308" s="25"/>
    </row>
    <row r="309" spans="1:17" ht="13.5" customHeight="1">
      <c r="A309" s="19" t="s">
        <v>546</v>
      </c>
      <c r="B309" s="20" t="s">
        <v>1215</v>
      </c>
      <c r="C309" s="21">
        <v>9783540744979</v>
      </c>
      <c r="D309" s="22" t="s">
        <v>550</v>
      </c>
      <c r="E309" s="23" t="str">
        <f>HYPERLINK("http://www.springer.com/gp/book/9783540744979","Procedures in International Law")</f>
        <v>Procedures in International Law</v>
      </c>
      <c r="F309" s="24">
        <v>2008</v>
      </c>
      <c r="G309" s="25" t="s">
        <v>957</v>
      </c>
      <c r="H309" s="70">
        <v>70.89</v>
      </c>
      <c r="I309" s="26">
        <v>25</v>
      </c>
      <c r="J309" s="68">
        <v>53.17</v>
      </c>
      <c r="K309" s="84">
        <v>59.95</v>
      </c>
      <c r="L309" s="85" t="s">
        <v>958</v>
      </c>
      <c r="M309" s="27" t="s">
        <v>977</v>
      </c>
      <c r="N309" s="25"/>
      <c r="O309" s="20" t="s">
        <v>22</v>
      </c>
      <c r="P309" s="25"/>
      <c r="Q309" s="25"/>
    </row>
    <row r="310" spans="1:17" ht="13.5" customHeight="1">
      <c r="A310" s="19" t="s">
        <v>546</v>
      </c>
      <c r="B310" s="20" t="s">
        <v>1215</v>
      </c>
      <c r="C310" s="21">
        <v>9783540253143</v>
      </c>
      <c r="D310" s="22" t="s">
        <v>556</v>
      </c>
      <c r="E310" s="23" t="str">
        <f>HYPERLINK("http://www.springer.com/gp/book/9783540253143","UN Law on International Sales")</f>
        <v>UN Law on International Sales</v>
      </c>
      <c r="F310" s="24">
        <v>2009</v>
      </c>
      <c r="G310" s="25" t="s">
        <v>957</v>
      </c>
      <c r="H310" s="70">
        <v>47.29</v>
      </c>
      <c r="I310" s="26">
        <v>25</v>
      </c>
      <c r="J310" s="68">
        <v>35.47</v>
      </c>
      <c r="K310" s="84">
        <v>39.99</v>
      </c>
      <c r="L310" s="85" t="s">
        <v>958</v>
      </c>
      <c r="M310" s="27" t="s">
        <v>995</v>
      </c>
      <c r="N310" s="25"/>
      <c r="O310" s="20" t="s">
        <v>22</v>
      </c>
      <c r="P310" s="25" t="s">
        <v>557</v>
      </c>
      <c r="Q310" s="25" t="s">
        <v>558</v>
      </c>
    </row>
    <row r="311" spans="1:17" ht="13.5" customHeight="1">
      <c r="A311" s="19" t="s">
        <v>546</v>
      </c>
      <c r="B311" s="20" t="s">
        <v>1215</v>
      </c>
      <c r="C311" s="21">
        <v>9783642326356</v>
      </c>
      <c r="D311" s="22" t="s">
        <v>544</v>
      </c>
      <c r="E311" s="23" t="str">
        <f>HYPERLINK("http://www.springer.com/gp/book/9783642326356","Who Will Be the Next President?")</f>
        <v>Who Will Be the Next President?</v>
      </c>
      <c r="F311" s="24">
        <v>2013</v>
      </c>
      <c r="G311" s="25" t="s">
        <v>957</v>
      </c>
      <c r="H311" s="70">
        <v>59.07</v>
      </c>
      <c r="I311" s="26">
        <v>20</v>
      </c>
      <c r="J311" s="68">
        <v>47.26</v>
      </c>
      <c r="K311" s="84">
        <v>49.95</v>
      </c>
      <c r="L311" s="85" t="s">
        <v>958</v>
      </c>
      <c r="M311" s="27" t="s">
        <v>995</v>
      </c>
      <c r="N311" s="25"/>
      <c r="O311" s="20" t="s">
        <v>44</v>
      </c>
      <c r="P311" s="25" t="s">
        <v>545</v>
      </c>
      <c r="Q311" s="25" t="s">
        <v>547</v>
      </c>
    </row>
    <row r="312" spans="1:17" s="6" customFormat="1" ht="13.5" customHeight="1">
      <c r="A312" s="19" t="s">
        <v>546</v>
      </c>
      <c r="B312" s="20" t="s">
        <v>1215</v>
      </c>
      <c r="C312" s="21">
        <v>9783642316340</v>
      </c>
      <c r="D312" s="22" t="s">
        <v>559</v>
      </c>
      <c r="E312" s="23" t="str">
        <f>HYPERLINK("http://www.springer.com/gp/book/9783642316340","Classification of Services in the Digital Economy")</f>
        <v>Classification of Services in the Digital Economy</v>
      </c>
      <c r="F312" s="24">
        <v>2013</v>
      </c>
      <c r="G312" s="25" t="s">
        <v>957</v>
      </c>
      <c r="H312" s="70">
        <v>132.81</v>
      </c>
      <c r="I312" s="26">
        <v>20</v>
      </c>
      <c r="J312" s="68">
        <v>106.25</v>
      </c>
      <c r="K312" s="84">
        <v>114.99</v>
      </c>
      <c r="L312" s="85" t="s">
        <v>958</v>
      </c>
      <c r="M312" s="27" t="s">
        <v>977</v>
      </c>
      <c r="N312" s="25"/>
      <c r="O312" s="20" t="s">
        <v>3</v>
      </c>
      <c r="P312" s="25"/>
      <c r="Q312" s="25"/>
    </row>
    <row r="313" spans="1:17" ht="13.5" customHeight="1">
      <c r="A313" s="19" t="s">
        <v>546</v>
      </c>
      <c r="B313" s="20" t="s">
        <v>1269</v>
      </c>
      <c r="C313" s="21">
        <v>9789067048750</v>
      </c>
      <c r="D313" s="22" t="s">
        <v>553</v>
      </c>
      <c r="E313" s="23" t="str">
        <f>HYPERLINK("http://www.springer.com/gp/book/9789067048750","Social Services of General Interest in the EU")</f>
        <v>Social Services of General Interest in the EU</v>
      </c>
      <c r="F313" s="24">
        <v>2013</v>
      </c>
      <c r="G313" s="25" t="s">
        <v>957</v>
      </c>
      <c r="H313" s="70">
        <v>173.19</v>
      </c>
      <c r="I313" s="26">
        <v>20</v>
      </c>
      <c r="J313" s="68">
        <v>138.55</v>
      </c>
      <c r="K313" s="84">
        <v>149.95</v>
      </c>
      <c r="L313" s="85" t="s">
        <v>958</v>
      </c>
      <c r="M313" s="27" t="s">
        <v>977</v>
      </c>
      <c r="N313" s="25"/>
      <c r="O313" s="20" t="s">
        <v>3</v>
      </c>
      <c r="P313" s="25"/>
      <c r="Q313" s="25" t="s">
        <v>554</v>
      </c>
    </row>
    <row r="314" spans="1:17" ht="13.5" customHeight="1">
      <c r="A314" s="19" t="s">
        <v>546</v>
      </c>
      <c r="B314" s="20" t="s">
        <v>1271</v>
      </c>
      <c r="C314" s="21">
        <v>9789067048903</v>
      </c>
      <c r="D314" s="22" t="s">
        <v>560</v>
      </c>
      <c r="E314" s="23" t="str">
        <f>HYPERLINK("http://www.springer.com/gp/book/9789067048903","Towards Global Justice: Sovereignty in an Interdependent World")</f>
        <v>Towards Global Justice: Sovereignty in an Interdependent World</v>
      </c>
      <c r="F314" s="24">
        <v>2013</v>
      </c>
      <c r="G314" s="25" t="s">
        <v>957</v>
      </c>
      <c r="H314" s="70">
        <v>115.44</v>
      </c>
      <c r="I314" s="26">
        <v>20</v>
      </c>
      <c r="J314" s="68">
        <v>92.35</v>
      </c>
      <c r="K314" s="84">
        <v>99.95</v>
      </c>
      <c r="L314" s="85" t="s">
        <v>958</v>
      </c>
      <c r="M314" s="27" t="s">
        <v>977</v>
      </c>
      <c r="N314" s="25"/>
      <c r="O314" s="20" t="s">
        <v>3</v>
      </c>
      <c r="P314" s="25"/>
      <c r="Q314" s="25"/>
    </row>
    <row r="315" spans="1:17" s="6" customFormat="1" ht="13.5" customHeight="1">
      <c r="A315" s="19" t="s">
        <v>546</v>
      </c>
      <c r="B315" s="20" t="s">
        <v>1270</v>
      </c>
      <c r="C315" s="21">
        <v>9789067048996</v>
      </c>
      <c r="D315" s="22" t="s">
        <v>555</v>
      </c>
      <c r="E315" s="23" t="str">
        <f>HYPERLINK("http://www.springer.com/gp/book/9789067048996","International Intellectual Property Law and Human Security")</f>
        <v>International Intellectual Property Law and Human Security</v>
      </c>
      <c r="F315" s="24">
        <v>2013</v>
      </c>
      <c r="G315" s="25" t="s">
        <v>957</v>
      </c>
      <c r="H315" s="70">
        <v>150.09</v>
      </c>
      <c r="I315" s="26">
        <v>20</v>
      </c>
      <c r="J315" s="68">
        <v>120.07</v>
      </c>
      <c r="K315" s="84">
        <v>129.95</v>
      </c>
      <c r="L315" s="85" t="s">
        <v>958</v>
      </c>
      <c r="M315" s="27" t="s">
        <v>977</v>
      </c>
      <c r="N315" s="25"/>
      <c r="O315" s="20" t="s">
        <v>3</v>
      </c>
      <c r="P315" s="25"/>
      <c r="Q315" s="25"/>
    </row>
    <row r="316" spans="1:17" ht="13.5" customHeight="1">
      <c r="A316" s="19" t="s">
        <v>546</v>
      </c>
      <c r="B316" s="20" t="s">
        <v>1272</v>
      </c>
      <c r="C316" s="21">
        <v>9789067048781</v>
      </c>
      <c r="D316" s="22" t="s">
        <v>548</v>
      </c>
      <c r="E316" s="23" t="str">
        <f>HYPERLINK("http://www.springer.com/gp/book/9789067048781","New Approaches to International Law")</f>
        <v>New Approaches to International Law</v>
      </c>
      <c r="F316" s="24">
        <v>2013</v>
      </c>
      <c r="G316" s="25" t="s">
        <v>957</v>
      </c>
      <c r="H316" s="70">
        <v>115.44</v>
      </c>
      <c r="I316" s="26">
        <v>20</v>
      </c>
      <c r="J316" s="68">
        <v>92.35</v>
      </c>
      <c r="K316" s="84">
        <v>99.95</v>
      </c>
      <c r="L316" s="85" t="s">
        <v>958</v>
      </c>
      <c r="M316" s="27" t="s">
        <v>977</v>
      </c>
      <c r="N316" s="25"/>
      <c r="O316" s="20" t="s">
        <v>10</v>
      </c>
      <c r="P316" s="25" t="s">
        <v>549</v>
      </c>
      <c r="Q316" s="25"/>
    </row>
    <row r="317" spans="1:17" ht="13.5" customHeight="1">
      <c r="A317" s="19" t="s">
        <v>546</v>
      </c>
      <c r="B317" s="20" t="s">
        <v>1273</v>
      </c>
      <c r="C317" s="21">
        <v>9789067048842</v>
      </c>
      <c r="D317" s="22" t="s">
        <v>551</v>
      </c>
      <c r="E317" s="23" t="str">
        <f>HYPERLINK("http://www.springer.com/gp/book/9789067048842","National Legal Systems and Globalization")</f>
        <v>National Legal Systems and Globalization</v>
      </c>
      <c r="F317" s="24">
        <v>2013</v>
      </c>
      <c r="G317" s="25" t="s">
        <v>957</v>
      </c>
      <c r="H317" s="70">
        <v>150.09</v>
      </c>
      <c r="I317" s="26">
        <v>20</v>
      </c>
      <c r="J317" s="68">
        <v>120.07</v>
      </c>
      <c r="K317" s="84">
        <v>129.95</v>
      </c>
      <c r="L317" s="85" t="s">
        <v>958</v>
      </c>
      <c r="M317" s="27" t="s">
        <v>977</v>
      </c>
      <c r="N317" s="25"/>
      <c r="O317" s="20" t="s">
        <v>10</v>
      </c>
      <c r="P317" s="25" t="s">
        <v>552</v>
      </c>
      <c r="Q317" s="25"/>
    </row>
    <row r="318" spans="1:17" ht="13.5" customHeight="1">
      <c r="A318" s="19" t="s">
        <v>563</v>
      </c>
      <c r="B318" s="20" t="s">
        <v>1192</v>
      </c>
      <c r="C318" s="21">
        <v>9781402066795</v>
      </c>
      <c r="D318" s="22" t="s">
        <v>564</v>
      </c>
      <c r="E318" s="23" t="str">
        <f>HYPERLINK("http://www.springer.com/gp/book/9781402066795","NMR in Biological Systems")</f>
        <v>NMR in Biological Systems</v>
      </c>
      <c r="F318" s="24">
        <v>2008</v>
      </c>
      <c r="G318" s="25" t="s">
        <v>957</v>
      </c>
      <c r="H318" s="70">
        <v>121.22</v>
      </c>
      <c r="I318" s="26">
        <v>25</v>
      </c>
      <c r="J318" s="68">
        <v>90.92</v>
      </c>
      <c r="K318" s="84">
        <v>104.95</v>
      </c>
      <c r="L318" s="85" t="s">
        <v>958</v>
      </c>
      <c r="M318" s="27" t="s">
        <v>977</v>
      </c>
      <c r="N318" s="25"/>
      <c r="O318" s="20" t="s">
        <v>183</v>
      </c>
      <c r="P318" s="25" t="s">
        <v>565</v>
      </c>
      <c r="Q318" s="25" t="s">
        <v>566</v>
      </c>
    </row>
    <row r="319" spans="1:17" ht="13.5" customHeight="1">
      <c r="A319" s="19" t="s">
        <v>563</v>
      </c>
      <c r="B319" s="20" t="s">
        <v>1192</v>
      </c>
      <c r="C319" s="21">
        <v>9781402069543</v>
      </c>
      <c r="D319" s="22" t="s">
        <v>595</v>
      </c>
      <c r="E319" s="23" t="str">
        <f>HYPERLINK("http://www.springer.com/gp/book/9781402069543","Innovations in Chemical Biology")</f>
        <v>Innovations in Chemical Biology</v>
      </c>
      <c r="F319" s="24">
        <v>2009</v>
      </c>
      <c r="G319" s="25" t="s">
        <v>957</v>
      </c>
      <c r="H319" s="70">
        <v>230.99</v>
      </c>
      <c r="I319" s="26">
        <v>25</v>
      </c>
      <c r="J319" s="68">
        <v>173.24</v>
      </c>
      <c r="K319" s="84">
        <v>199.99</v>
      </c>
      <c r="L319" s="85" t="s">
        <v>958</v>
      </c>
      <c r="M319" s="27" t="s">
        <v>977</v>
      </c>
      <c r="N319" s="25"/>
      <c r="O319" s="20" t="s">
        <v>10</v>
      </c>
      <c r="P319" s="25"/>
      <c r="Q319" s="25"/>
    </row>
    <row r="320" spans="1:17" ht="13.5" customHeight="1">
      <c r="A320" s="19" t="s">
        <v>563</v>
      </c>
      <c r="B320" s="20" t="s">
        <v>1192</v>
      </c>
      <c r="C320" s="21">
        <v>9781441973634</v>
      </c>
      <c r="D320" s="22" t="s">
        <v>561</v>
      </c>
      <c r="E320" s="23" t="str">
        <f>HYPERLINK("http://www.springer.com/gp/book/9781441973634","The Physical Basis of Biochemistry")</f>
        <v>The Physical Basis of Biochemistry</v>
      </c>
      <c r="F320" s="24">
        <v>2011</v>
      </c>
      <c r="G320" s="25" t="s">
        <v>957</v>
      </c>
      <c r="H320" s="70">
        <v>47.29</v>
      </c>
      <c r="I320" s="26">
        <v>25</v>
      </c>
      <c r="J320" s="68">
        <v>35.47</v>
      </c>
      <c r="K320" s="84">
        <v>39.99</v>
      </c>
      <c r="L320" s="85" t="s">
        <v>958</v>
      </c>
      <c r="M320" s="27" t="s">
        <v>995</v>
      </c>
      <c r="N320" s="25"/>
      <c r="O320" s="20" t="s">
        <v>22</v>
      </c>
      <c r="P320" s="25" t="s">
        <v>562</v>
      </c>
      <c r="Q320" s="25"/>
    </row>
    <row r="321" spans="1:17" s="6" customFormat="1" ht="13.5" customHeight="1">
      <c r="A321" s="19" t="s">
        <v>563</v>
      </c>
      <c r="B321" s="20" t="s">
        <v>1192</v>
      </c>
      <c r="C321" s="21">
        <v>9781617792601</v>
      </c>
      <c r="D321" s="22" t="s">
        <v>585</v>
      </c>
      <c r="E321" s="23" t="str">
        <f>HYPERLINK("http://www.springer.com/gp/book/9781617792601","Single Molecule Enzymology")</f>
        <v>Single Molecule Enzymology</v>
      </c>
      <c r="F321" s="24">
        <v>2011</v>
      </c>
      <c r="G321" s="25" t="s">
        <v>957</v>
      </c>
      <c r="H321" s="70">
        <v>150.14</v>
      </c>
      <c r="I321" s="26">
        <v>25</v>
      </c>
      <c r="J321" s="68">
        <v>112.61</v>
      </c>
      <c r="K321" s="84">
        <v>129.99</v>
      </c>
      <c r="L321" s="85" t="s">
        <v>958</v>
      </c>
      <c r="M321" s="27" t="s">
        <v>977</v>
      </c>
      <c r="N321" s="25"/>
      <c r="O321" s="20" t="s">
        <v>10</v>
      </c>
      <c r="P321" s="25" t="s">
        <v>24</v>
      </c>
      <c r="Q321" s="25" t="s">
        <v>586</v>
      </c>
    </row>
    <row r="322" spans="1:17" ht="13.5" customHeight="1">
      <c r="A322" s="19" t="s">
        <v>563</v>
      </c>
      <c r="B322" s="20" t="s">
        <v>1192</v>
      </c>
      <c r="C322" s="21">
        <v>9789048193547</v>
      </c>
      <c r="D322" s="22" t="s">
        <v>587</v>
      </c>
      <c r="E322" s="23" t="str">
        <f>HYPERLINK("http://www.springer.com/gp/book/9789048193547","Functional and Structural Proteomics of Glycoproteins")</f>
        <v>Functional and Structural Proteomics of Glycoproteins</v>
      </c>
      <c r="F322" s="24">
        <v>2011</v>
      </c>
      <c r="G322" s="25" t="s">
        <v>957</v>
      </c>
      <c r="H322" s="70">
        <v>207.89</v>
      </c>
      <c r="I322" s="26">
        <v>25</v>
      </c>
      <c r="J322" s="68">
        <v>155.92</v>
      </c>
      <c r="K322" s="84">
        <v>179.99</v>
      </c>
      <c r="L322" s="85" t="s">
        <v>958</v>
      </c>
      <c r="M322" s="27" t="s">
        <v>977</v>
      </c>
      <c r="N322" s="25"/>
      <c r="O322" s="20" t="s">
        <v>10</v>
      </c>
      <c r="P322" s="25"/>
      <c r="Q322" s="25"/>
    </row>
    <row r="323" spans="1:17" ht="13.5" customHeight="1">
      <c r="A323" s="19" t="s">
        <v>563</v>
      </c>
      <c r="B323" s="20" t="s">
        <v>1191</v>
      </c>
      <c r="C323" s="21">
        <v>9780387241432</v>
      </c>
      <c r="D323" s="22" t="s">
        <v>574</v>
      </c>
      <c r="E323" s="23" t="str">
        <f>HYPERLINK("http://www.springer.com/gp/book/9780387241432","Bergey's Manual® of Systematic Bacteriology")</f>
        <v>Bergey's Manual® of Systematic Bacteriology</v>
      </c>
      <c r="F323" s="24">
        <v>2005</v>
      </c>
      <c r="G323" s="25" t="s">
        <v>957</v>
      </c>
      <c r="H323" s="70">
        <v>66.16</v>
      </c>
      <c r="I323" s="26">
        <v>30</v>
      </c>
      <c r="J323" s="68">
        <v>46.31</v>
      </c>
      <c r="K323" s="84">
        <v>55.95</v>
      </c>
      <c r="L323" s="85" t="s">
        <v>958</v>
      </c>
      <c r="M323" s="27" t="s">
        <v>977</v>
      </c>
      <c r="N323" s="25" t="s">
        <v>1061</v>
      </c>
      <c r="O323" s="20" t="s">
        <v>98</v>
      </c>
      <c r="P323" s="25" t="s">
        <v>575</v>
      </c>
      <c r="Q323" s="25"/>
    </row>
    <row r="324" spans="1:17" ht="13.5" customHeight="1">
      <c r="A324" s="19" t="s">
        <v>563</v>
      </c>
      <c r="B324" s="20" t="s">
        <v>1191</v>
      </c>
      <c r="C324" s="21">
        <v>9780387241456</v>
      </c>
      <c r="D324" s="22" t="s">
        <v>574</v>
      </c>
      <c r="E324" s="23" t="str">
        <f>HYPERLINK("http://www.springer.com/gp/book/9780387241456","Bergey's Manual® of Systematic Bacteriology")</f>
        <v>Bergey's Manual® of Systematic Bacteriology</v>
      </c>
      <c r="F324" s="24">
        <v>2005</v>
      </c>
      <c r="G324" s="25" t="s">
        <v>957</v>
      </c>
      <c r="H324" s="70">
        <v>287.6</v>
      </c>
      <c r="I324" s="26">
        <v>30</v>
      </c>
      <c r="J324" s="68">
        <v>201.32</v>
      </c>
      <c r="K324" s="84">
        <v>249</v>
      </c>
      <c r="L324" s="85" t="s">
        <v>958</v>
      </c>
      <c r="M324" s="27" t="s">
        <v>977</v>
      </c>
      <c r="N324" s="25" t="s">
        <v>1061</v>
      </c>
      <c r="O324" s="20" t="s">
        <v>98</v>
      </c>
      <c r="P324" s="25" t="s">
        <v>576</v>
      </c>
      <c r="Q324" s="25"/>
    </row>
    <row r="325" spans="1:17" ht="13.5" customHeight="1">
      <c r="A325" s="19" t="s">
        <v>563</v>
      </c>
      <c r="B325" s="20" t="s">
        <v>1191</v>
      </c>
      <c r="C325" s="21">
        <v>9783540748908</v>
      </c>
      <c r="D325" s="22" t="s">
        <v>596</v>
      </c>
      <c r="E325" s="23" t="str">
        <f>HYPERLINK("http://www.springer.com/gp/book/9783540748908","Theory and Mathematical Methods in Bioinformatics")</f>
        <v>Theory and Mathematical Methods in Bioinformatics</v>
      </c>
      <c r="F325" s="24">
        <v>2008</v>
      </c>
      <c r="G325" s="25" t="s">
        <v>957</v>
      </c>
      <c r="H325" s="70">
        <v>196.34</v>
      </c>
      <c r="I325" s="26">
        <v>25</v>
      </c>
      <c r="J325" s="68">
        <v>147.26</v>
      </c>
      <c r="K325" s="84">
        <v>169.99</v>
      </c>
      <c r="L325" s="85" t="s">
        <v>958</v>
      </c>
      <c r="M325" s="27" t="s">
        <v>977</v>
      </c>
      <c r="N325" s="25"/>
      <c r="O325" s="20" t="s">
        <v>3</v>
      </c>
      <c r="P325" s="25"/>
      <c r="Q325" s="25" t="s">
        <v>597</v>
      </c>
    </row>
    <row r="326" spans="1:17" ht="13.5" customHeight="1">
      <c r="A326" s="19" t="s">
        <v>563</v>
      </c>
      <c r="B326" s="20" t="s">
        <v>1191</v>
      </c>
      <c r="C326" s="21">
        <v>9780387950433</v>
      </c>
      <c r="D326" s="22" t="s">
        <v>609</v>
      </c>
      <c r="E326" s="23" t="str">
        <f>HYPERLINK("http://www.springer.com/gp/book/9780387950433","Bergey's Manual of Systematic Bacteriology")</f>
        <v>Bergey's Manual of Systematic Bacteriology</v>
      </c>
      <c r="F326" s="24">
        <v>2012</v>
      </c>
      <c r="G326" s="25" t="s">
        <v>957</v>
      </c>
      <c r="H326" s="70">
        <v>287.6</v>
      </c>
      <c r="I326" s="26">
        <v>20</v>
      </c>
      <c r="J326" s="68">
        <v>230.08</v>
      </c>
      <c r="K326" s="84">
        <v>249</v>
      </c>
      <c r="L326" s="85" t="s">
        <v>958</v>
      </c>
      <c r="M326" s="27" t="s">
        <v>977</v>
      </c>
      <c r="N326" s="25" t="s">
        <v>1061</v>
      </c>
      <c r="O326" s="20" t="s">
        <v>98</v>
      </c>
      <c r="P326" s="25" t="s">
        <v>610</v>
      </c>
      <c r="Q326" s="25"/>
    </row>
    <row r="327" spans="1:17" ht="13.5" customHeight="1">
      <c r="A327" s="19" t="s">
        <v>563</v>
      </c>
      <c r="B327" s="20" t="s">
        <v>1193</v>
      </c>
      <c r="C327" s="21">
        <v>9781848002548</v>
      </c>
      <c r="D327" s="22" t="s">
        <v>603</v>
      </c>
      <c r="E327" s="23" t="str">
        <f>HYPERLINK("http://www.springer.com/gp/book/9781848002548","Computing for Comparative Microbial Genomics")</f>
        <v>Computing for Comparative Microbial Genomics</v>
      </c>
      <c r="F327" s="24">
        <v>2009</v>
      </c>
      <c r="G327" s="25" t="s">
        <v>957</v>
      </c>
      <c r="H327" s="70">
        <v>74.44</v>
      </c>
      <c r="I327" s="26">
        <v>25</v>
      </c>
      <c r="J327" s="68">
        <v>55.83</v>
      </c>
      <c r="K327" s="84">
        <v>62.95</v>
      </c>
      <c r="L327" s="85" t="s">
        <v>958</v>
      </c>
      <c r="M327" s="27" t="s">
        <v>977</v>
      </c>
      <c r="N327" s="25"/>
      <c r="O327" s="20" t="s">
        <v>183</v>
      </c>
      <c r="P327" s="25" t="s">
        <v>604</v>
      </c>
      <c r="Q327" s="25" t="s">
        <v>605</v>
      </c>
    </row>
    <row r="328" spans="1:17" ht="13.5" customHeight="1">
      <c r="A328" s="19" t="s">
        <v>563</v>
      </c>
      <c r="B328" s="20" t="s">
        <v>1193</v>
      </c>
      <c r="C328" s="21">
        <v>9783642328664</v>
      </c>
      <c r="D328" s="22" t="s">
        <v>577</v>
      </c>
      <c r="E328" s="23" t="str">
        <f>HYPERLINK("http://www.springer.com/gp/book/9783642328664","Microbial Metal Respiration")</f>
        <v>Microbial Metal Respiration</v>
      </c>
      <c r="F328" s="24">
        <v>2012</v>
      </c>
      <c r="G328" s="25" t="s">
        <v>957</v>
      </c>
      <c r="H328" s="70">
        <v>184.79</v>
      </c>
      <c r="I328" s="26">
        <v>20</v>
      </c>
      <c r="J328" s="68">
        <v>147.83</v>
      </c>
      <c r="K328" s="84">
        <v>159.99</v>
      </c>
      <c r="L328" s="85" t="s">
        <v>958</v>
      </c>
      <c r="M328" s="27" t="s">
        <v>977</v>
      </c>
      <c r="N328" s="25"/>
      <c r="O328" s="20" t="s">
        <v>3</v>
      </c>
      <c r="P328" s="25" t="s">
        <v>578</v>
      </c>
      <c r="Q328" s="25"/>
    </row>
    <row r="329" spans="1:17" ht="13.5" customHeight="1">
      <c r="A329" s="19" t="s">
        <v>563</v>
      </c>
      <c r="B329" s="20" t="s">
        <v>1195</v>
      </c>
      <c r="C329" s="21">
        <v>9783642330865</v>
      </c>
      <c r="D329" s="22" t="s">
        <v>573</v>
      </c>
      <c r="E329" s="23" t="str">
        <f>HYPERLINK("http://www.springer.com/gp/book/9783642330865","Plant Breeding for Biotic Stress Resistance")</f>
        <v>Plant Breeding for Biotic Stress Resistance</v>
      </c>
      <c r="F329" s="24">
        <v>2012</v>
      </c>
      <c r="G329" s="25" t="s">
        <v>957</v>
      </c>
      <c r="H329" s="70">
        <v>184.79</v>
      </c>
      <c r="I329" s="26">
        <v>20</v>
      </c>
      <c r="J329" s="68">
        <v>147.83</v>
      </c>
      <c r="K329" s="84">
        <v>159.99</v>
      </c>
      <c r="L329" s="85" t="s">
        <v>958</v>
      </c>
      <c r="M329" s="27" t="s">
        <v>977</v>
      </c>
      <c r="N329" s="25"/>
      <c r="O329" s="20" t="s">
        <v>10</v>
      </c>
      <c r="P329" s="25"/>
      <c r="Q329" s="25"/>
    </row>
    <row r="330" spans="1:17" ht="13.5" customHeight="1">
      <c r="A330" s="19" t="s">
        <v>563</v>
      </c>
      <c r="B330" s="20" t="s">
        <v>1194</v>
      </c>
      <c r="C330" s="21">
        <v>9783540640257</v>
      </c>
      <c r="D330" s="22" t="s">
        <v>567</v>
      </c>
      <c r="E330" s="23" t="str">
        <f>HYPERLINK("http://www.springer.com/gp/book/9783540640257","Androgenesis and Haploid Plants")</f>
        <v>Androgenesis and Haploid Plants</v>
      </c>
      <c r="F330" s="24">
        <v>1998</v>
      </c>
      <c r="G330" s="25" t="s">
        <v>957</v>
      </c>
      <c r="H330" s="70">
        <v>161.69</v>
      </c>
      <c r="I330" s="26">
        <v>30</v>
      </c>
      <c r="J330" s="68">
        <v>113.18</v>
      </c>
      <c r="K330" s="84">
        <v>139.99</v>
      </c>
      <c r="L330" s="85" t="s">
        <v>958</v>
      </c>
      <c r="M330" s="27" t="s">
        <v>977</v>
      </c>
      <c r="N330" s="25"/>
      <c r="O330" s="20" t="s">
        <v>3</v>
      </c>
      <c r="P330" s="25"/>
      <c r="Q330" s="25"/>
    </row>
    <row r="331" spans="1:17" ht="13.5" customHeight="1">
      <c r="A331" s="19" t="s">
        <v>563</v>
      </c>
      <c r="B331" s="20" t="s">
        <v>1194</v>
      </c>
      <c r="C331" s="21">
        <v>9781402096082</v>
      </c>
      <c r="D331" s="22" t="s">
        <v>601</v>
      </c>
      <c r="E331" s="23" t="str">
        <f>HYPERLINK("http://www.springer.com/gp/book/9781402096082","Flowering Plants")</f>
        <v>Flowering Plants</v>
      </c>
      <c r="F331" s="24">
        <v>2009</v>
      </c>
      <c r="G331" s="25" t="s">
        <v>957</v>
      </c>
      <c r="H331" s="70">
        <v>364.94</v>
      </c>
      <c r="I331" s="26">
        <v>25</v>
      </c>
      <c r="J331" s="68">
        <v>273.71</v>
      </c>
      <c r="K331" s="84">
        <v>319</v>
      </c>
      <c r="L331" s="85" t="s">
        <v>958</v>
      </c>
      <c r="M331" s="27" t="s">
        <v>977</v>
      </c>
      <c r="N331" s="25" t="s">
        <v>1061</v>
      </c>
      <c r="O331" s="20" t="s">
        <v>3</v>
      </c>
      <c r="P331" s="25"/>
      <c r="Q331" s="25"/>
    </row>
    <row r="332" spans="1:17" ht="13.5" customHeight="1">
      <c r="A332" s="19" t="s">
        <v>563</v>
      </c>
      <c r="B332" s="20" t="s">
        <v>1194</v>
      </c>
      <c r="C332" s="21">
        <v>9783709111598</v>
      </c>
      <c r="D332" s="22" t="s">
        <v>582</v>
      </c>
      <c r="E332" s="23" t="str">
        <f>HYPERLINK("http://www.springer.com/gp/book/9783709111598","Plant Genome Diversity Volume 2")</f>
        <v>Plant Genome Diversity Volume 2</v>
      </c>
      <c r="F332" s="24">
        <v>2013</v>
      </c>
      <c r="G332" s="25" t="s">
        <v>957</v>
      </c>
      <c r="H332" s="70">
        <v>230.99</v>
      </c>
      <c r="I332" s="26">
        <v>20</v>
      </c>
      <c r="J332" s="68">
        <v>184.79</v>
      </c>
      <c r="K332" s="84">
        <v>199.99</v>
      </c>
      <c r="L332" s="85" t="s">
        <v>958</v>
      </c>
      <c r="M332" s="27" t="s">
        <v>977</v>
      </c>
      <c r="N332" s="25"/>
      <c r="O332" s="20" t="s">
        <v>10</v>
      </c>
      <c r="P332" s="25" t="s">
        <v>583</v>
      </c>
      <c r="Q332" s="25"/>
    </row>
    <row r="333" spans="1:17" ht="13.5" customHeight="1">
      <c r="A333" s="19" t="s">
        <v>563</v>
      </c>
      <c r="B333" s="20" t="s">
        <v>1194</v>
      </c>
      <c r="C333" s="21">
        <v>9781461450009</v>
      </c>
      <c r="D333" s="22" t="s">
        <v>602</v>
      </c>
      <c r="E333" s="23" t="str">
        <f>HYPERLINK("http://www.springer.com/gp/book/9781461450009","Plant Acclimation to Environmental Stress")</f>
        <v>Plant Acclimation to Environmental Stress</v>
      </c>
      <c r="F333" s="24">
        <v>2013</v>
      </c>
      <c r="G333" s="25" t="s">
        <v>957</v>
      </c>
      <c r="H333" s="70">
        <v>241.4</v>
      </c>
      <c r="I333" s="26">
        <v>20</v>
      </c>
      <c r="J333" s="68">
        <v>193.12</v>
      </c>
      <c r="K333" s="84">
        <v>209</v>
      </c>
      <c r="L333" s="85" t="s">
        <v>958</v>
      </c>
      <c r="M333" s="27" t="s">
        <v>977</v>
      </c>
      <c r="N333" s="25"/>
      <c r="O333" s="20" t="s">
        <v>10</v>
      </c>
      <c r="P333" s="25"/>
      <c r="Q333" s="25"/>
    </row>
    <row r="334" spans="1:17" ht="13.5" customHeight="1">
      <c r="A334" s="19" t="s">
        <v>563</v>
      </c>
      <c r="B334" s="20" t="s">
        <v>1312</v>
      </c>
      <c r="C334" s="21">
        <v>9783540738367</v>
      </c>
      <c r="D334" s="22" t="s">
        <v>579</v>
      </c>
      <c r="E334" s="23" t="str">
        <f>HYPERLINK("http://www.springer.com/gp/book/9783540738367","Genome Mapping and Genomics in Fishes and Aquatic Animals")</f>
        <v>Genome Mapping and Genomics in Fishes and Aquatic Animals</v>
      </c>
      <c r="F334" s="24">
        <v>2008</v>
      </c>
      <c r="G334" s="25" t="s">
        <v>957</v>
      </c>
      <c r="H334" s="70">
        <v>252.95</v>
      </c>
      <c r="I334" s="26">
        <v>25</v>
      </c>
      <c r="J334" s="68">
        <v>189.71</v>
      </c>
      <c r="K334" s="84">
        <v>219</v>
      </c>
      <c r="L334" s="85" t="s">
        <v>958</v>
      </c>
      <c r="M334" s="27" t="s">
        <v>977</v>
      </c>
      <c r="N334" s="25"/>
      <c r="O334" s="20" t="s">
        <v>98</v>
      </c>
      <c r="P334" s="25"/>
      <c r="Q334" s="25" t="s">
        <v>580</v>
      </c>
    </row>
    <row r="335" spans="1:17" ht="13.5" customHeight="1">
      <c r="A335" s="19" t="s">
        <v>563</v>
      </c>
      <c r="B335" s="20" t="s">
        <v>1312</v>
      </c>
      <c r="C335" s="21">
        <v>9783540738343</v>
      </c>
      <c r="D335" s="22" t="s">
        <v>568</v>
      </c>
      <c r="E335" s="23" t="str">
        <f>HYPERLINK("http://www.springer.com/gp/book/9783540738343","Genome Mapping and Genomics in Domestic Animals")</f>
        <v>Genome Mapping and Genomics in Domestic Animals</v>
      </c>
      <c r="F335" s="24">
        <v>2009</v>
      </c>
      <c r="G335" s="25" t="s">
        <v>957</v>
      </c>
      <c r="H335" s="70">
        <v>252.95</v>
      </c>
      <c r="I335" s="26">
        <v>25</v>
      </c>
      <c r="J335" s="68">
        <v>189.71</v>
      </c>
      <c r="K335" s="84">
        <v>219</v>
      </c>
      <c r="L335" s="85" t="s">
        <v>958</v>
      </c>
      <c r="M335" s="27" t="s">
        <v>977</v>
      </c>
      <c r="N335" s="25"/>
      <c r="O335" s="20" t="s">
        <v>98</v>
      </c>
      <c r="P335" s="25"/>
      <c r="Q335" s="25" t="s">
        <v>569</v>
      </c>
    </row>
    <row r="336" spans="1:17" ht="13.5" customHeight="1">
      <c r="A336" s="19" t="s">
        <v>563</v>
      </c>
      <c r="B336" s="20" t="s">
        <v>1319</v>
      </c>
      <c r="C336" s="21">
        <v>9783540759560</v>
      </c>
      <c r="D336" s="22" t="s">
        <v>581</v>
      </c>
      <c r="E336" s="23" t="str">
        <f>HYPERLINK("http://www.springer.com/gp/book/9783540759560","Ecology of Social Evolution")</f>
        <v>Ecology of Social Evolution</v>
      </c>
      <c r="F336" s="24">
        <v>2008</v>
      </c>
      <c r="G336" s="25" t="s">
        <v>957</v>
      </c>
      <c r="H336" s="70">
        <v>230.99</v>
      </c>
      <c r="I336" s="26">
        <v>25</v>
      </c>
      <c r="J336" s="68">
        <v>173.24</v>
      </c>
      <c r="K336" s="84">
        <v>199.99</v>
      </c>
      <c r="L336" s="85" t="s">
        <v>958</v>
      </c>
      <c r="M336" s="27" t="s">
        <v>977</v>
      </c>
      <c r="N336" s="25"/>
      <c r="O336" s="20" t="s">
        <v>98</v>
      </c>
      <c r="P336" s="25"/>
      <c r="Q336" s="25"/>
    </row>
    <row r="337" spans="1:17" ht="13.5" customHeight="1">
      <c r="A337" s="19" t="s">
        <v>563</v>
      </c>
      <c r="B337" s="20" t="s">
        <v>1117</v>
      </c>
      <c r="C337" s="21">
        <v>9780387493169</v>
      </c>
      <c r="D337" s="22" t="s">
        <v>571</v>
      </c>
      <c r="E337" s="23" t="str">
        <f>HYPERLINK("http://www.springer.com/gp/book/9780387493169","Multiple Testing Procedures with Applications to Genomics")</f>
        <v>Multiple Testing Procedures with Applications to Genomics</v>
      </c>
      <c r="F337" s="24">
        <v>2008</v>
      </c>
      <c r="G337" s="25" t="s">
        <v>957</v>
      </c>
      <c r="H337" s="70">
        <v>173.24</v>
      </c>
      <c r="I337" s="26">
        <v>25</v>
      </c>
      <c r="J337" s="68">
        <v>129.93</v>
      </c>
      <c r="K337" s="84">
        <v>149.99</v>
      </c>
      <c r="L337" s="85" t="s">
        <v>958</v>
      </c>
      <c r="M337" s="27" t="s">
        <v>977</v>
      </c>
      <c r="N337" s="25"/>
      <c r="O337" s="20" t="s">
        <v>3</v>
      </c>
      <c r="P337" s="25"/>
      <c r="Q337" s="25" t="s">
        <v>572</v>
      </c>
    </row>
    <row r="338" spans="1:17" ht="13.5" customHeight="1">
      <c r="A338" s="28" t="s">
        <v>563</v>
      </c>
      <c r="B338" s="27" t="s">
        <v>1097</v>
      </c>
      <c r="C338" s="29">
        <v>9783540779001</v>
      </c>
      <c r="D338" s="30" t="s">
        <v>1037</v>
      </c>
      <c r="E338" s="31" t="s">
        <v>1038</v>
      </c>
      <c r="F338" s="32">
        <v>2008</v>
      </c>
      <c r="G338" s="33" t="s">
        <v>957</v>
      </c>
      <c r="H338" s="71">
        <v>92.24</v>
      </c>
      <c r="I338" s="26">
        <v>25</v>
      </c>
      <c r="J338" s="68">
        <v>69.18</v>
      </c>
      <c r="K338" s="86">
        <v>78</v>
      </c>
      <c r="L338" s="87" t="s">
        <v>958</v>
      </c>
      <c r="M338" s="27" t="s">
        <v>977</v>
      </c>
      <c r="N338" s="29"/>
      <c r="O338" s="20" t="s">
        <v>3</v>
      </c>
      <c r="P338" s="27"/>
      <c r="Q338" s="27"/>
    </row>
    <row r="339" spans="1:17" ht="13.5" customHeight="1">
      <c r="A339" s="19" t="s">
        <v>563</v>
      </c>
      <c r="B339" s="27" t="s">
        <v>1076</v>
      </c>
      <c r="C339" s="29">
        <v>9781402045844</v>
      </c>
      <c r="D339" s="30" t="s">
        <v>1005</v>
      </c>
      <c r="E339" s="31" t="s">
        <v>1074</v>
      </c>
      <c r="F339" s="32">
        <v>2008</v>
      </c>
      <c r="G339" s="33" t="s">
        <v>957</v>
      </c>
      <c r="H339" s="71">
        <v>366</v>
      </c>
      <c r="I339" s="26">
        <v>25</v>
      </c>
      <c r="J339" s="68">
        <v>274.5</v>
      </c>
      <c r="K339" s="86">
        <v>319.93</v>
      </c>
      <c r="L339" s="87" t="s">
        <v>958</v>
      </c>
      <c r="M339" s="27" t="s">
        <v>977</v>
      </c>
      <c r="N339" s="29" t="s">
        <v>1075</v>
      </c>
      <c r="O339" s="20" t="s">
        <v>3</v>
      </c>
      <c r="P339" s="27"/>
      <c r="Q339" s="27"/>
    </row>
    <row r="340" spans="1:17" ht="13.5" customHeight="1">
      <c r="A340" s="19" t="s">
        <v>563</v>
      </c>
      <c r="B340" s="20" t="s">
        <v>1317</v>
      </c>
      <c r="C340" s="21">
        <v>9783540786214</v>
      </c>
      <c r="D340" s="22" t="s">
        <v>592</v>
      </c>
      <c r="E340" s="23" t="str">
        <f>HYPERLINK("http://www.springer.com/gp/book/9783540786214","Bioenergetics")</f>
        <v>Bioenergetics</v>
      </c>
      <c r="F340" s="24">
        <v>2008</v>
      </c>
      <c r="G340" s="25" t="s">
        <v>957</v>
      </c>
      <c r="H340" s="70">
        <v>333.8</v>
      </c>
      <c r="I340" s="26">
        <v>25</v>
      </c>
      <c r="J340" s="68">
        <v>250.35</v>
      </c>
      <c r="K340" s="84">
        <v>289</v>
      </c>
      <c r="L340" s="85" t="s">
        <v>958</v>
      </c>
      <c r="M340" s="27" t="s">
        <v>977</v>
      </c>
      <c r="N340" s="25"/>
      <c r="O340" s="20" t="s">
        <v>98</v>
      </c>
      <c r="P340" s="25" t="s">
        <v>593</v>
      </c>
      <c r="Q340" s="25" t="s">
        <v>594</v>
      </c>
    </row>
    <row r="341" spans="1:17" ht="13.5" customHeight="1">
      <c r="A341" s="19" t="s">
        <v>563</v>
      </c>
      <c r="B341" s="20" t="s">
        <v>1317</v>
      </c>
      <c r="C341" s="21">
        <v>9781617792724</v>
      </c>
      <c r="D341" s="22" t="s">
        <v>117</v>
      </c>
      <c r="E341" s="23" t="str">
        <f>HYPERLINK("http://www.springer.com/gp/book/9781617792724","Cell Cycle Checkpoints")</f>
        <v>Cell Cycle Checkpoints</v>
      </c>
      <c r="F341" s="24">
        <v>2011</v>
      </c>
      <c r="G341" s="25" t="s">
        <v>957</v>
      </c>
      <c r="H341" s="70">
        <v>150.14</v>
      </c>
      <c r="I341" s="26">
        <v>25</v>
      </c>
      <c r="J341" s="68">
        <v>112.61</v>
      </c>
      <c r="K341" s="84">
        <v>129.99</v>
      </c>
      <c r="L341" s="85" t="s">
        <v>958</v>
      </c>
      <c r="M341" s="27" t="s">
        <v>977</v>
      </c>
      <c r="N341" s="25"/>
      <c r="O341" s="20" t="s">
        <v>10</v>
      </c>
      <c r="P341" s="25" t="s">
        <v>24</v>
      </c>
      <c r="Q341" s="25" t="s">
        <v>584</v>
      </c>
    </row>
    <row r="342" spans="1:17" ht="13.5" customHeight="1">
      <c r="A342" s="19" t="s">
        <v>563</v>
      </c>
      <c r="B342" s="20" t="s">
        <v>1118</v>
      </c>
      <c r="C342" s="21">
        <v>9781402086434</v>
      </c>
      <c r="D342" s="22" t="s">
        <v>570</v>
      </c>
      <c r="E342" s="23" t="str">
        <f>HYPERLINK("http://www.springer.com/gp/book/9781402086434","Ane's Encyclopedic Dictionary of General &amp; Applied Entomology")</f>
        <v>Ane's Encyclopedic Dictionary of General &amp; Applied Entomology</v>
      </c>
      <c r="F342" s="24">
        <v>2008</v>
      </c>
      <c r="G342" s="25" t="s">
        <v>957</v>
      </c>
      <c r="H342" s="70">
        <v>213.66</v>
      </c>
      <c r="I342" s="26">
        <v>25</v>
      </c>
      <c r="J342" s="68">
        <v>160.25</v>
      </c>
      <c r="K342" s="84">
        <v>184.99</v>
      </c>
      <c r="L342" s="85" t="s">
        <v>958</v>
      </c>
      <c r="M342" s="27" t="s">
        <v>977</v>
      </c>
      <c r="N342" s="25"/>
      <c r="O342" s="20" t="s">
        <v>297</v>
      </c>
      <c r="P342" s="25"/>
      <c r="Q342" s="25"/>
    </row>
    <row r="343" spans="1:17" ht="13.5" customHeight="1">
      <c r="A343" s="19" t="s">
        <v>563</v>
      </c>
      <c r="B343" s="20" t="s">
        <v>1315</v>
      </c>
      <c r="C343" s="21">
        <v>9783642304248</v>
      </c>
      <c r="D343" s="22" t="s">
        <v>588</v>
      </c>
      <c r="E343" s="23" t="str">
        <f>HYPERLINK("http://www.springer.com/gp/book/9783642304248","Evolutionary Biology: Mechanisms and Trends")</f>
        <v>Evolutionary Biology: Mechanisms and Trends</v>
      </c>
      <c r="F343" s="24">
        <v>2012</v>
      </c>
      <c r="G343" s="25" t="s">
        <v>957</v>
      </c>
      <c r="H343" s="70">
        <v>196.34</v>
      </c>
      <c r="I343" s="26">
        <v>20</v>
      </c>
      <c r="J343" s="68">
        <v>157.07</v>
      </c>
      <c r="K343" s="84">
        <v>169.99</v>
      </c>
      <c r="L343" s="85" t="s">
        <v>958</v>
      </c>
      <c r="M343" s="27" t="s">
        <v>977</v>
      </c>
      <c r="N343" s="25"/>
      <c r="O343" s="20" t="s">
        <v>10</v>
      </c>
      <c r="P343" s="25"/>
      <c r="Q343" s="25"/>
    </row>
    <row r="344" spans="1:17" ht="13.5" customHeight="1">
      <c r="A344" s="19" t="s">
        <v>563</v>
      </c>
      <c r="B344" s="20" t="s">
        <v>1316</v>
      </c>
      <c r="C344" s="21">
        <v>9789400753259</v>
      </c>
      <c r="D344" s="22" t="s">
        <v>598</v>
      </c>
      <c r="E344" s="23" t="str">
        <f>HYPERLINK("http://www.springer.com/gp/book/9789400753259","Forest Landscape Restoration")</f>
        <v>Forest Landscape Restoration</v>
      </c>
      <c r="F344" s="24">
        <v>2012</v>
      </c>
      <c r="G344" s="25" t="s">
        <v>957</v>
      </c>
      <c r="H344" s="70">
        <v>196.34</v>
      </c>
      <c r="I344" s="26">
        <v>20</v>
      </c>
      <c r="J344" s="68">
        <v>157.07</v>
      </c>
      <c r="K344" s="84">
        <v>169.99</v>
      </c>
      <c r="L344" s="85" t="s">
        <v>958</v>
      </c>
      <c r="M344" s="27" t="s">
        <v>977</v>
      </c>
      <c r="N344" s="25"/>
      <c r="O344" s="20" t="s">
        <v>10</v>
      </c>
      <c r="P344" s="25" t="s">
        <v>599</v>
      </c>
      <c r="Q344" s="25" t="s">
        <v>600</v>
      </c>
    </row>
    <row r="345" spans="1:17" s="6" customFormat="1" ht="13.5" customHeight="1">
      <c r="A345" s="19" t="s">
        <v>563</v>
      </c>
      <c r="B345" s="20" t="s">
        <v>1314</v>
      </c>
      <c r="C345" s="21">
        <v>9783540740407</v>
      </c>
      <c r="D345" s="22" t="s">
        <v>608</v>
      </c>
      <c r="E345" s="23" t="str">
        <f>HYPERLINK("http://www.springer.com/gp/book/9783540740407","Genome Mapping and Genomics in Animal-Associated Microbes")</f>
        <v>Genome Mapping and Genomics in Animal-Associated Microbes</v>
      </c>
      <c r="F345" s="24">
        <v>2009</v>
      </c>
      <c r="G345" s="25" t="s">
        <v>957</v>
      </c>
      <c r="H345" s="70">
        <v>230.99</v>
      </c>
      <c r="I345" s="26">
        <v>25</v>
      </c>
      <c r="J345" s="68">
        <v>173.24</v>
      </c>
      <c r="K345" s="84">
        <v>199.99</v>
      </c>
      <c r="L345" s="85" t="s">
        <v>958</v>
      </c>
      <c r="M345" s="27" t="s">
        <v>977</v>
      </c>
      <c r="N345" s="25"/>
      <c r="O345" s="20" t="s">
        <v>98</v>
      </c>
      <c r="P345" s="25"/>
      <c r="Q345" s="25"/>
    </row>
    <row r="346" spans="1:17" ht="13.5" customHeight="1">
      <c r="A346" s="19" t="s">
        <v>563</v>
      </c>
      <c r="B346" s="20" t="s">
        <v>1313</v>
      </c>
      <c r="C346" s="21">
        <v>9781617790393</v>
      </c>
      <c r="D346" s="22" t="s">
        <v>611</v>
      </c>
      <c r="E346" s="23" t="str">
        <f>HYPERLINK("http://www.springer.com/gp/book/9781617790393","Fungal Genomics")</f>
        <v>Fungal Genomics</v>
      </c>
      <c r="F346" s="24">
        <v>2011</v>
      </c>
      <c r="G346" s="25" t="s">
        <v>957</v>
      </c>
      <c r="H346" s="70">
        <v>121.26</v>
      </c>
      <c r="I346" s="26">
        <v>25</v>
      </c>
      <c r="J346" s="68">
        <v>90.95</v>
      </c>
      <c r="K346" s="84">
        <v>104.99</v>
      </c>
      <c r="L346" s="85" t="s">
        <v>958</v>
      </c>
      <c r="M346" s="27" t="s">
        <v>977</v>
      </c>
      <c r="N346" s="25"/>
      <c r="O346" s="20" t="s">
        <v>10</v>
      </c>
      <c r="P346" s="25" t="s">
        <v>24</v>
      </c>
      <c r="Q346" s="25" t="s">
        <v>612</v>
      </c>
    </row>
    <row r="347" spans="1:17" ht="13.5" customHeight="1">
      <c r="A347" s="19" t="s">
        <v>563</v>
      </c>
      <c r="B347" s="20" t="s">
        <v>1318</v>
      </c>
      <c r="C347" s="21">
        <v>9781402090578</v>
      </c>
      <c r="D347" s="22" t="s">
        <v>589</v>
      </c>
      <c r="E347" s="23" t="str">
        <f>HYPERLINK("http://www.springer.com/gp/book/9781402090578","From Protein Structure to Function with Bioinformatics")</f>
        <v>From Protein Structure to Function with Bioinformatics</v>
      </c>
      <c r="F347" s="24">
        <v>2009</v>
      </c>
      <c r="G347" s="25" t="s">
        <v>957</v>
      </c>
      <c r="H347" s="70">
        <v>115.49</v>
      </c>
      <c r="I347" s="26">
        <v>25</v>
      </c>
      <c r="J347" s="68">
        <v>86.62</v>
      </c>
      <c r="K347" s="84">
        <v>99.99</v>
      </c>
      <c r="L347" s="85" t="s">
        <v>958</v>
      </c>
      <c r="M347" s="27" t="s">
        <v>977</v>
      </c>
      <c r="N347" s="25"/>
      <c r="O347" s="20" t="s">
        <v>10</v>
      </c>
      <c r="P347" s="25"/>
      <c r="Q347" s="25"/>
    </row>
    <row r="348" spans="1:17" ht="13.5" customHeight="1">
      <c r="A348" s="19" t="s">
        <v>563</v>
      </c>
      <c r="B348" s="20" t="s">
        <v>1318</v>
      </c>
      <c r="C348" s="21">
        <v>9781627030229</v>
      </c>
      <c r="D348" s="22" t="s">
        <v>606</v>
      </c>
      <c r="E348" s="23" t="str">
        <f>HYPERLINK("http://www.springer.com/gp/book/9781627030229","Membrane Protein Structure and Dynamics")</f>
        <v>Membrane Protein Structure and Dynamics</v>
      </c>
      <c r="F348" s="24">
        <v>2012</v>
      </c>
      <c r="G348" s="25" t="s">
        <v>957</v>
      </c>
      <c r="H348" s="70">
        <v>150.14</v>
      </c>
      <c r="I348" s="26">
        <v>20</v>
      </c>
      <c r="J348" s="68">
        <v>120.11</v>
      </c>
      <c r="K348" s="84">
        <v>129.99</v>
      </c>
      <c r="L348" s="85" t="s">
        <v>958</v>
      </c>
      <c r="M348" s="27" t="s">
        <v>977</v>
      </c>
      <c r="N348" s="25"/>
      <c r="O348" s="20" t="s">
        <v>10</v>
      </c>
      <c r="P348" s="25" t="s">
        <v>24</v>
      </c>
      <c r="Q348" s="25" t="s">
        <v>607</v>
      </c>
    </row>
    <row r="349" spans="1:17" ht="13.5" customHeight="1">
      <c r="A349" s="19" t="s">
        <v>563</v>
      </c>
      <c r="B349" s="20" t="s">
        <v>1318</v>
      </c>
      <c r="C349" s="21">
        <v>9781627031752</v>
      </c>
      <c r="D349" s="22" t="s">
        <v>590</v>
      </c>
      <c r="E349" s="23" t="str">
        <f>HYPERLINK("http://www.springer.com/gp/book/9781627031752","Electron Crystallography of Soluble and Membrane Proteins")</f>
        <v>Electron Crystallography of Soluble and Membrane Proteins</v>
      </c>
      <c r="F349" s="24">
        <v>2013</v>
      </c>
      <c r="G349" s="25" t="s">
        <v>957</v>
      </c>
      <c r="H349" s="70">
        <v>161.69</v>
      </c>
      <c r="I349" s="26">
        <v>20</v>
      </c>
      <c r="J349" s="68">
        <v>129.35</v>
      </c>
      <c r="K349" s="84">
        <v>139.99</v>
      </c>
      <c r="L349" s="85" t="s">
        <v>958</v>
      </c>
      <c r="M349" s="27" t="s">
        <v>977</v>
      </c>
      <c r="N349" s="25"/>
      <c r="O349" s="20" t="s">
        <v>10</v>
      </c>
      <c r="P349" s="25" t="s">
        <v>24</v>
      </c>
      <c r="Q349" s="25" t="s">
        <v>591</v>
      </c>
    </row>
    <row r="350" spans="1:17" ht="13.5" customHeight="1">
      <c r="A350" s="19" t="s">
        <v>615</v>
      </c>
      <c r="B350" s="20" t="s">
        <v>1236</v>
      </c>
      <c r="C350" s="21">
        <v>9780387765020</v>
      </c>
      <c r="D350" s="22" t="s">
        <v>647</v>
      </c>
      <c r="E350" s="23" t="str">
        <f>HYPERLINK("http://www.springer.com/gp/book/9780387765020","Transmission Electron Microscopy")</f>
        <v>Transmission Electron Microscopy</v>
      </c>
      <c r="F350" s="24">
        <v>2009</v>
      </c>
      <c r="G350" s="25" t="s">
        <v>957</v>
      </c>
      <c r="H350" s="70">
        <v>82.72</v>
      </c>
      <c r="I350" s="26">
        <v>25</v>
      </c>
      <c r="J350" s="68">
        <v>62.04</v>
      </c>
      <c r="K350" s="84">
        <v>69.95</v>
      </c>
      <c r="L350" s="85" t="s">
        <v>958</v>
      </c>
      <c r="M350" s="27" t="s">
        <v>995</v>
      </c>
      <c r="N350" s="25" t="s">
        <v>1061</v>
      </c>
      <c r="O350" s="20" t="s">
        <v>22</v>
      </c>
      <c r="P350" s="25" t="s">
        <v>648</v>
      </c>
      <c r="Q350" s="25"/>
    </row>
    <row r="351" spans="1:17" ht="13.5" customHeight="1">
      <c r="A351" s="19" t="s">
        <v>615</v>
      </c>
      <c r="B351" s="20" t="s">
        <v>1236</v>
      </c>
      <c r="C351" s="21">
        <v>9781461421900</v>
      </c>
      <c r="D351" s="22" t="s">
        <v>646</v>
      </c>
      <c r="E351" s="23" t="str">
        <f>HYPERLINK("http://www.springer.com/gp/book/9781461421900","Modeling Nanoscale Imaging in Electron Microscopy")</f>
        <v>Modeling Nanoscale Imaging in Electron Microscopy</v>
      </c>
      <c r="F351" s="24">
        <v>2012</v>
      </c>
      <c r="G351" s="25" t="s">
        <v>957</v>
      </c>
      <c r="H351" s="70">
        <v>127.04</v>
      </c>
      <c r="I351" s="26">
        <v>20</v>
      </c>
      <c r="J351" s="68">
        <v>101.63</v>
      </c>
      <c r="K351" s="84">
        <v>109.99</v>
      </c>
      <c r="L351" s="85" t="s">
        <v>958</v>
      </c>
      <c r="M351" s="27" t="s">
        <v>977</v>
      </c>
      <c r="N351" s="25"/>
      <c r="O351" s="20" t="s">
        <v>3</v>
      </c>
      <c r="P351" s="25"/>
      <c r="Q351" s="25" t="s">
        <v>467</v>
      </c>
    </row>
    <row r="352" spans="1:17" ht="13.5" customHeight="1">
      <c r="A352" s="19" t="s">
        <v>615</v>
      </c>
      <c r="B352" s="20" t="s">
        <v>1236</v>
      </c>
      <c r="C352" s="21">
        <v>9783642279096</v>
      </c>
      <c r="D352" s="22" t="s">
        <v>621</v>
      </c>
      <c r="E352" s="23" t="str">
        <f>HYPERLINK("http://www.springer.com/gp/book/9783642279096","Transport Processes in Porous Media")</f>
        <v>Transport Processes in Porous Media</v>
      </c>
      <c r="F352" s="24">
        <v>2012</v>
      </c>
      <c r="G352" s="25" t="s">
        <v>957</v>
      </c>
      <c r="H352" s="70">
        <v>150.14</v>
      </c>
      <c r="I352" s="26">
        <v>20</v>
      </c>
      <c r="J352" s="68">
        <v>120.11</v>
      </c>
      <c r="K352" s="84">
        <v>129.99</v>
      </c>
      <c r="L352" s="85" t="s">
        <v>958</v>
      </c>
      <c r="M352" s="27" t="s">
        <v>977</v>
      </c>
      <c r="N352" s="25"/>
      <c r="O352" s="20" t="s">
        <v>3</v>
      </c>
      <c r="P352" s="25"/>
      <c r="Q352" s="25" t="s">
        <v>622</v>
      </c>
    </row>
    <row r="353" spans="1:17" ht="13.5" customHeight="1">
      <c r="A353" s="19" t="s">
        <v>615</v>
      </c>
      <c r="B353" s="20" t="s">
        <v>1236</v>
      </c>
      <c r="C353" s="21">
        <v>9783642303999</v>
      </c>
      <c r="D353" s="22" t="s">
        <v>634</v>
      </c>
      <c r="E353" s="23" t="str">
        <f>HYPERLINK("http://www.springer.com/gp/book/9783642303999","Analytical Imaging Techniques for Soft Matter Characterization")</f>
        <v>Analytical Imaging Techniques for Soft Matter Characterization</v>
      </c>
      <c r="F353" s="24">
        <v>2012</v>
      </c>
      <c r="G353" s="25" t="s">
        <v>957</v>
      </c>
      <c r="H353" s="70">
        <v>150.14</v>
      </c>
      <c r="I353" s="26">
        <v>20</v>
      </c>
      <c r="J353" s="68">
        <v>120.11</v>
      </c>
      <c r="K353" s="84">
        <v>129.99</v>
      </c>
      <c r="L353" s="85" t="s">
        <v>958</v>
      </c>
      <c r="M353" s="27" t="s">
        <v>977</v>
      </c>
      <c r="N353" s="25"/>
      <c r="O353" s="20" t="s">
        <v>3</v>
      </c>
      <c r="P353" s="25"/>
      <c r="Q353" s="25" t="s">
        <v>635</v>
      </c>
    </row>
    <row r="354" spans="1:17" ht="13.5" customHeight="1">
      <c r="A354" s="19" t="s">
        <v>615</v>
      </c>
      <c r="B354" s="20" t="s">
        <v>1236</v>
      </c>
      <c r="C354" s="21">
        <v>9783642290527</v>
      </c>
      <c r="D354" s="22" t="s">
        <v>642</v>
      </c>
      <c r="E354" s="23" t="str">
        <f>HYPERLINK("http://www.springer.com/gp/book/9783642290527","Mathematical Modeling in Mechanics of Granular Materials")</f>
        <v>Mathematical Modeling in Mechanics of Granular Materials</v>
      </c>
      <c r="F354" s="24">
        <v>2012</v>
      </c>
      <c r="G354" s="25" t="s">
        <v>957</v>
      </c>
      <c r="H354" s="70">
        <v>196.34</v>
      </c>
      <c r="I354" s="26">
        <v>20</v>
      </c>
      <c r="J354" s="68">
        <v>157.07</v>
      </c>
      <c r="K354" s="84">
        <v>169.99</v>
      </c>
      <c r="L354" s="85" t="s">
        <v>958</v>
      </c>
      <c r="M354" s="27" t="s">
        <v>977</v>
      </c>
      <c r="N354" s="25"/>
      <c r="O354" s="20" t="s">
        <v>3</v>
      </c>
      <c r="P354" s="25"/>
      <c r="Q354" s="25" t="s">
        <v>643</v>
      </c>
    </row>
    <row r="355" spans="1:17" ht="13.5" customHeight="1">
      <c r="A355" s="19" t="s">
        <v>615</v>
      </c>
      <c r="B355" s="20" t="s">
        <v>1236</v>
      </c>
      <c r="C355" s="21">
        <v>9783642305313</v>
      </c>
      <c r="D355" s="22" t="s">
        <v>625</v>
      </c>
      <c r="E355" s="23" t="str">
        <f>HYPERLINK("http://www.springer.com/gp/book/9783642305313","Numerical Analysis of Heat and Mass Transfer in Porous Media")</f>
        <v>Numerical Analysis of Heat and Mass Transfer in Porous Media</v>
      </c>
      <c r="F355" s="24">
        <v>2012</v>
      </c>
      <c r="G355" s="25" t="s">
        <v>957</v>
      </c>
      <c r="H355" s="70">
        <v>196.34</v>
      </c>
      <c r="I355" s="26">
        <v>20</v>
      </c>
      <c r="J355" s="68">
        <v>157.07</v>
      </c>
      <c r="K355" s="84">
        <v>169.99</v>
      </c>
      <c r="L355" s="85" t="s">
        <v>958</v>
      </c>
      <c r="M355" s="27" t="s">
        <v>977</v>
      </c>
      <c r="N355" s="25"/>
      <c r="O355" s="20" t="s">
        <v>3</v>
      </c>
      <c r="P355" s="25"/>
      <c r="Q355" s="25" t="s">
        <v>626</v>
      </c>
    </row>
    <row r="356" spans="1:17" ht="13.5" customHeight="1">
      <c r="A356" s="19" t="s">
        <v>615</v>
      </c>
      <c r="B356" s="20" t="s">
        <v>1241</v>
      </c>
      <c r="C356" s="21">
        <v>9789400726444</v>
      </c>
      <c r="D356" s="22" t="s">
        <v>617</v>
      </c>
      <c r="E356" s="23" t="str">
        <f>HYPERLINK("http://www.springer.com/gp/book/9789400726444","Electromagnetic Processing of Materials")</f>
        <v>Electromagnetic Processing of Materials</v>
      </c>
      <c r="F356" s="24">
        <v>2012</v>
      </c>
      <c r="G356" s="25" t="s">
        <v>957</v>
      </c>
      <c r="H356" s="70">
        <v>138.59</v>
      </c>
      <c r="I356" s="26">
        <v>20</v>
      </c>
      <c r="J356" s="68">
        <v>110.87</v>
      </c>
      <c r="K356" s="84">
        <v>119.99</v>
      </c>
      <c r="L356" s="85" t="s">
        <v>958</v>
      </c>
      <c r="M356" s="27" t="s">
        <v>977</v>
      </c>
      <c r="N356" s="25"/>
      <c r="O356" s="20" t="s">
        <v>3</v>
      </c>
      <c r="P356" s="25" t="s">
        <v>618</v>
      </c>
      <c r="Q356" s="25" t="s">
        <v>619</v>
      </c>
    </row>
    <row r="357" spans="1:17" ht="13.5" customHeight="1">
      <c r="A357" s="19" t="s">
        <v>615</v>
      </c>
      <c r="B357" s="20" t="s">
        <v>1235</v>
      </c>
      <c r="C357" s="21">
        <v>9783540745518</v>
      </c>
      <c r="D357" s="22" t="s">
        <v>627</v>
      </c>
      <c r="E357" s="23" t="str">
        <f>HYPERLINK("http://www.springer.com/gp/book/9783540745518","Nanocatalysis")</f>
        <v>Nanocatalysis</v>
      </c>
      <c r="F357" s="24">
        <v>2007</v>
      </c>
      <c r="G357" s="25" t="s">
        <v>957</v>
      </c>
      <c r="H357" s="70">
        <v>150.14</v>
      </c>
      <c r="I357" s="26">
        <v>30</v>
      </c>
      <c r="J357" s="68">
        <v>105.1</v>
      </c>
      <c r="K357" s="84">
        <v>129.99</v>
      </c>
      <c r="L357" s="85" t="s">
        <v>958</v>
      </c>
      <c r="M357" s="27" t="s">
        <v>995</v>
      </c>
      <c r="N357" s="25"/>
      <c r="O357" s="20" t="s">
        <v>3</v>
      </c>
      <c r="P357" s="25"/>
      <c r="Q357" s="25" t="s">
        <v>435</v>
      </c>
    </row>
    <row r="358" spans="1:17" ht="13.5" customHeight="1">
      <c r="A358" s="19" t="s">
        <v>615</v>
      </c>
      <c r="B358" s="20" t="s">
        <v>1235</v>
      </c>
      <c r="C358" s="21">
        <v>9780387324739</v>
      </c>
      <c r="D358" s="22" t="s">
        <v>630</v>
      </c>
      <c r="E358" s="23" t="str">
        <f>HYPERLINK("http://www.springer.com/gp/book/9780387324739","Nanotechnology-Enabled Sensors")</f>
        <v>Nanotechnology-Enabled Sensors</v>
      </c>
      <c r="F358" s="24">
        <v>2008</v>
      </c>
      <c r="G358" s="25" t="s">
        <v>957</v>
      </c>
      <c r="H358" s="70">
        <v>150.14</v>
      </c>
      <c r="I358" s="26">
        <v>25</v>
      </c>
      <c r="J358" s="68">
        <v>112.61</v>
      </c>
      <c r="K358" s="84">
        <v>129.99</v>
      </c>
      <c r="L358" s="85" t="s">
        <v>958</v>
      </c>
      <c r="M358" s="27" t="s">
        <v>977</v>
      </c>
      <c r="N358" s="25"/>
      <c r="O358" s="20" t="s">
        <v>28</v>
      </c>
      <c r="P358" s="25"/>
      <c r="Q358" s="25"/>
    </row>
    <row r="359" spans="1:17" ht="13.5" customHeight="1">
      <c r="A359" s="19" t="s">
        <v>615</v>
      </c>
      <c r="B359" s="20" t="s">
        <v>1235</v>
      </c>
      <c r="C359" s="21">
        <v>9780387462813</v>
      </c>
      <c r="D359" s="22" t="s">
        <v>628</v>
      </c>
      <c r="E359" s="23" t="str">
        <f>HYPERLINK("http://www.springer.com/gp/book/9780387462813","BioNanoFluidic MEMS")</f>
        <v>BioNanoFluidic MEMS</v>
      </c>
      <c r="F359" s="24">
        <v>2008</v>
      </c>
      <c r="G359" s="25" t="s">
        <v>957</v>
      </c>
      <c r="H359" s="70">
        <v>179.01</v>
      </c>
      <c r="I359" s="26">
        <v>25</v>
      </c>
      <c r="J359" s="68">
        <v>134.26</v>
      </c>
      <c r="K359" s="84">
        <v>154.99</v>
      </c>
      <c r="L359" s="85" t="s">
        <v>958</v>
      </c>
      <c r="M359" s="27" t="s">
        <v>977</v>
      </c>
      <c r="N359" s="25"/>
      <c r="O359" s="20" t="s">
        <v>28</v>
      </c>
      <c r="P359" s="25"/>
      <c r="Q359" s="25" t="s">
        <v>629</v>
      </c>
    </row>
    <row r="360" spans="1:17" ht="13.5" customHeight="1">
      <c r="A360" s="19" t="s">
        <v>615</v>
      </c>
      <c r="B360" s="20" t="s">
        <v>1235</v>
      </c>
      <c r="C360" s="21">
        <v>9783211752357</v>
      </c>
      <c r="D360" s="22" t="s">
        <v>640</v>
      </c>
      <c r="E360" s="23" t="str">
        <f>HYPERLINK("http://www.springer.com/gp/book/9783211752357","Semiconductor Nanocrystal Quantum Dots")</f>
        <v>Semiconductor Nanocrystal Quantum Dots</v>
      </c>
      <c r="F360" s="24">
        <v>2008</v>
      </c>
      <c r="G360" s="25" t="s">
        <v>957</v>
      </c>
      <c r="H360" s="70">
        <v>196.34</v>
      </c>
      <c r="I360" s="26">
        <v>25</v>
      </c>
      <c r="J360" s="68">
        <v>147.26</v>
      </c>
      <c r="K360" s="84">
        <v>169.99</v>
      </c>
      <c r="L360" s="85" t="s">
        <v>958</v>
      </c>
      <c r="M360" s="27" t="s">
        <v>977</v>
      </c>
      <c r="N360" s="25"/>
      <c r="O360" s="20" t="s">
        <v>28</v>
      </c>
      <c r="P360" s="25" t="s">
        <v>641</v>
      </c>
      <c r="Q360" s="25"/>
    </row>
    <row r="361" spans="1:17" ht="13.5" customHeight="1">
      <c r="A361" s="19" t="s">
        <v>615</v>
      </c>
      <c r="B361" s="20" t="s">
        <v>1235</v>
      </c>
      <c r="C361" s="21">
        <v>9783540745563</v>
      </c>
      <c r="D361" s="22" t="s">
        <v>638</v>
      </c>
      <c r="E361" s="23" t="str">
        <f>HYPERLINK("http://www.springer.com/gp/book/9783540745563","Nano- and Micromaterials")</f>
        <v>Nano- and Micromaterials</v>
      </c>
      <c r="F361" s="24">
        <v>2008</v>
      </c>
      <c r="G361" s="25" t="s">
        <v>957</v>
      </c>
      <c r="H361" s="70">
        <v>225.21</v>
      </c>
      <c r="I361" s="26">
        <v>25</v>
      </c>
      <c r="J361" s="68">
        <v>168.91</v>
      </c>
      <c r="K361" s="84">
        <v>194.99</v>
      </c>
      <c r="L361" s="85" t="s">
        <v>958</v>
      </c>
      <c r="M361" s="27" t="s">
        <v>977</v>
      </c>
      <c r="N361" s="25"/>
      <c r="O361" s="20" t="s">
        <v>3</v>
      </c>
      <c r="P361" s="25"/>
      <c r="Q361" s="25" t="s">
        <v>639</v>
      </c>
    </row>
    <row r="362" spans="1:17" ht="13.5" customHeight="1">
      <c r="A362" s="19" t="s">
        <v>615</v>
      </c>
      <c r="B362" s="20" t="s">
        <v>1235</v>
      </c>
      <c r="C362" s="21">
        <v>9783642318443</v>
      </c>
      <c r="D362" s="22" t="s">
        <v>632</v>
      </c>
      <c r="E362" s="23" t="str">
        <f>HYPERLINK("http://www.springer.com/gp/book/9783642318443","Quantum-chemical studies on Porphyrins, Fullerenes and Carbon Nanostructures")</f>
        <v>Quantum-chemical studies on Porphyrins, Fullerenes and Carbon Nanostructures</v>
      </c>
      <c r="F362" s="24">
        <v>2013</v>
      </c>
      <c r="G362" s="25" t="s">
        <v>957</v>
      </c>
      <c r="H362" s="70">
        <v>132.81</v>
      </c>
      <c r="I362" s="26">
        <v>20</v>
      </c>
      <c r="J362" s="68">
        <v>106.25</v>
      </c>
      <c r="K362" s="84">
        <v>114.99</v>
      </c>
      <c r="L362" s="85" t="s">
        <v>958</v>
      </c>
      <c r="M362" s="27" t="s">
        <v>977</v>
      </c>
      <c r="N362" s="25"/>
      <c r="O362" s="20" t="s">
        <v>3</v>
      </c>
      <c r="P362" s="25"/>
      <c r="Q362" s="25" t="s">
        <v>633</v>
      </c>
    </row>
    <row r="363" spans="1:17" ht="13.5" customHeight="1">
      <c r="A363" s="19" t="s">
        <v>615</v>
      </c>
      <c r="B363" s="20" t="s">
        <v>1243</v>
      </c>
      <c r="C363" s="21">
        <v>9780387260594</v>
      </c>
      <c r="D363" s="22" t="s">
        <v>631</v>
      </c>
      <c r="E363" s="23" t="str">
        <f>HYPERLINK("http://www.springer.com/gp/book/9780387260594","Springer Handbook of Electronic and Photonic Materials")</f>
        <v>Springer Handbook of Electronic and Photonic Materials</v>
      </c>
      <c r="F363" s="24">
        <v>2007</v>
      </c>
      <c r="G363" s="25" t="s">
        <v>957</v>
      </c>
      <c r="H363" s="70">
        <v>287.6</v>
      </c>
      <c r="I363" s="26">
        <v>30</v>
      </c>
      <c r="J363" s="68">
        <v>201.32</v>
      </c>
      <c r="K363" s="84">
        <v>249</v>
      </c>
      <c r="L363" s="85" t="s">
        <v>958</v>
      </c>
      <c r="M363" s="27" t="s">
        <v>977</v>
      </c>
      <c r="N363" s="25"/>
      <c r="O363" s="20" t="s">
        <v>8</v>
      </c>
      <c r="P363" s="25"/>
      <c r="Q363" s="25"/>
    </row>
    <row r="364" spans="1:17" ht="13.5" customHeight="1">
      <c r="A364" s="19" t="s">
        <v>615</v>
      </c>
      <c r="B364" s="20" t="s">
        <v>1242</v>
      </c>
      <c r="C364" s="21">
        <v>9783642181863</v>
      </c>
      <c r="D364" s="22" t="s">
        <v>636</v>
      </c>
      <c r="E364" s="23" t="str">
        <f>HYPERLINK("http://www.springer.com/gp/book/9783642181863","Structural Connections for Lightweight Metallic Structures")</f>
        <v>Structural Connections for Lightweight Metallic Structures</v>
      </c>
      <c r="F364" s="24">
        <v>2012</v>
      </c>
      <c r="G364" s="25" t="s">
        <v>957</v>
      </c>
      <c r="H364" s="70">
        <v>150.14</v>
      </c>
      <c r="I364" s="26">
        <v>20</v>
      </c>
      <c r="J364" s="68">
        <v>120.11</v>
      </c>
      <c r="K364" s="84">
        <v>129.99</v>
      </c>
      <c r="L364" s="85" t="s">
        <v>958</v>
      </c>
      <c r="M364" s="27" t="s">
        <v>977</v>
      </c>
      <c r="N364" s="25"/>
      <c r="O364" s="20" t="s">
        <v>3</v>
      </c>
      <c r="P364" s="25"/>
      <c r="Q364" s="25" t="s">
        <v>637</v>
      </c>
    </row>
    <row r="365" spans="1:17" ht="13.5" customHeight="1">
      <c r="A365" s="19" t="s">
        <v>615</v>
      </c>
      <c r="B365" s="20" t="s">
        <v>1242</v>
      </c>
      <c r="C365" s="21">
        <v>9788132207191</v>
      </c>
      <c r="D365" s="22" t="s">
        <v>644</v>
      </c>
      <c r="E365" s="23" t="str">
        <f>HYPERLINK("http://www.springer.com/gp/book/9788132207191","Corrosion of Constructional Steels in Marine and Industrial Environment")</f>
        <v>Corrosion of Constructional Steels in Marine and Industrial Environment</v>
      </c>
      <c r="F365" s="24">
        <v>2013</v>
      </c>
      <c r="G365" s="25" t="s">
        <v>957</v>
      </c>
      <c r="H365" s="70">
        <v>127.04</v>
      </c>
      <c r="I365" s="26">
        <v>20</v>
      </c>
      <c r="J365" s="68">
        <v>101.63</v>
      </c>
      <c r="K365" s="84">
        <v>109.99</v>
      </c>
      <c r="L365" s="85" t="s">
        <v>958</v>
      </c>
      <c r="M365" s="27" t="s">
        <v>977</v>
      </c>
      <c r="N365" s="25"/>
      <c r="O365" s="20" t="s">
        <v>3</v>
      </c>
      <c r="P365" s="25" t="s">
        <v>645</v>
      </c>
      <c r="Q365" s="25" t="s">
        <v>635</v>
      </c>
    </row>
    <row r="366" spans="1:17" ht="13.5" customHeight="1">
      <c r="A366" s="19" t="s">
        <v>615</v>
      </c>
      <c r="B366" s="20" t="s">
        <v>1126</v>
      </c>
      <c r="C366" s="21">
        <v>9783642221309</v>
      </c>
      <c r="D366" s="22" t="s">
        <v>652</v>
      </c>
      <c r="E366" s="23" t="str">
        <f>HYPERLINK("http://www.springer.com/gp/book/9783642221309","Analysis and Design of Biological Materials and Structures")</f>
        <v>Analysis and Design of Biological Materials and Structures</v>
      </c>
      <c r="F366" s="24">
        <v>2012</v>
      </c>
      <c r="G366" s="25" t="s">
        <v>957</v>
      </c>
      <c r="H366" s="70">
        <v>150.14</v>
      </c>
      <c r="I366" s="26">
        <v>20</v>
      </c>
      <c r="J366" s="68">
        <v>120.11</v>
      </c>
      <c r="K366" s="84">
        <v>129.99</v>
      </c>
      <c r="L366" s="85" t="s">
        <v>958</v>
      </c>
      <c r="M366" s="27" t="s">
        <v>977</v>
      </c>
      <c r="N366" s="25"/>
      <c r="O366" s="20" t="s">
        <v>3</v>
      </c>
      <c r="P366" s="25"/>
      <c r="Q366" s="25" t="s">
        <v>653</v>
      </c>
    </row>
    <row r="367" spans="1:17" ht="13.5" customHeight="1">
      <c r="A367" s="19" t="s">
        <v>615</v>
      </c>
      <c r="B367" s="20" t="s">
        <v>1126</v>
      </c>
      <c r="C367" s="21">
        <v>9789400716100</v>
      </c>
      <c r="D367" s="22" t="s">
        <v>623</v>
      </c>
      <c r="E367" s="23" t="str">
        <f>HYPERLINK("http://www.springer.com/gp/book/9789400716100","Biomateriomics")</f>
        <v>Biomateriomics</v>
      </c>
      <c r="F367" s="24">
        <v>2012</v>
      </c>
      <c r="G367" s="25" t="s">
        <v>957</v>
      </c>
      <c r="H367" s="70">
        <v>173.24</v>
      </c>
      <c r="I367" s="26">
        <v>20</v>
      </c>
      <c r="J367" s="68">
        <v>138.59</v>
      </c>
      <c r="K367" s="84">
        <v>149.99</v>
      </c>
      <c r="L367" s="85" t="s">
        <v>958</v>
      </c>
      <c r="M367" s="27" t="s">
        <v>977</v>
      </c>
      <c r="N367" s="25"/>
      <c r="O367" s="20" t="s">
        <v>3</v>
      </c>
      <c r="P367" s="25"/>
      <c r="Q367" s="25" t="s">
        <v>624</v>
      </c>
    </row>
    <row r="368" spans="1:17" ht="13.5" customHeight="1">
      <c r="A368" s="19" t="s">
        <v>615</v>
      </c>
      <c r="B368" s="20" t="s">
        <v>1126</v>
      </c>
      <c r="C368" s="21">
        <v>9781447141013</v>
      </c>
      <c r="D368" s="22" t="s">
        <v>620</v>
      </c>
      <c r="E368" s="23" t="str">
        <f>HYPERLINK("http://www.springer.com/gp/book/9781447141013","Environmental Silicate Nano-Biocomposites")</f>
        <v>Environmental Silicate Nano-Biocomposites</v>
      </c>
      <c r="F368" s="24">
        <v>2012</v>
      </c>
      <c r="G368" s="25" t="s">
        <v>957</v>
      </c>
      <c r="H368" s="70">
        <v>196.34</v>
      </c>
      <c r="I368" s="26">
        <v>20</v>
      </c>
      <c r="J368" s="68">
        <v>157.07</v>
      </c>
      <c r="K368" s="84">
        <v>169.99</v>
      </c>
      <c r="L368" s="85" t="s">
        <v>958</v>
      </c>
      <c r="M368" s="27" t="s">
        <v>977</v>
      </c>
      <c r="N368" s="25"/>
      <c r="O368" s="20" t="s">
        <v>3</v>
      </c>
      <c r="P368" s="25"/>
      <c r="Q368" s="25" t="s">
        <v>362</v>
      </c>
    </row>
    <row r="369" spans="1:17" ht="13.5" customHeight="1">
      <c r="A369" s="19" t="s">
        <v>615</v>
      </c>
      <c r="B369" s="20" t="s">
        <v>1239</v>
      </c>
      <c r="C369" s="21">
        <v>9789048131495</v>
      </c>
      <c r="D369" s="22" t="s">
        <v>613</v>
      </c>
      <c r="E369" s="23" t="str">
        <f>HYPERLINK("http://www.springer.com/gp/book/9789048131495","Thermal analysis of Micro, Nano- and Non-Crystalline Materials")</f>
        <v>Thermal analysis of Micro, Nano- and Non-Crystalline Materials</v>
      </c>
      <c r="F369" s="24">
        <v>2013</v>
      </c>
      <c r="G369" s="25" t="s">
        <v>957</v>
      </c>
      <c r="H369" s="70">
        <v>230.99</v>
      </c>
      <c r="I369" s="26">
        <v>20</v>
      </c>
      <c r="J369" s="68">
        <v>184.79</v>
      </c>
      <c r="K369" s="84">
        <v>199.99</v>
      </c>
      <c r="L369" s="85" t="s">
        <v>958</v>
      </c>
      <c r="M369" s="27" t="s">
        <v>977</v>
      </c>
      <c r="N369" s="25"/>
      <c r="O369" s="20" t="s">
        <v>3</v>
      </c>
      <c r="P369" s="25" t="s">
        <v>614</v>
      </c>
      <c r="Q369" s="25" t="s">
        <v>616</v>
      </c>
    </row>
    <row r="370" spans="1:17" ht="13.5" customHeight="1">
      <c r="A370" s="19" t="s">
        <v>615</v>
      </c>
      <c r="B370" s="20" t="s">
        <v>1238</v>
      </c>
      <c r="C370" s="21">
        <v>9780387362298</v>
      </c>
      <c r="D370" s="22" t="s">
        <v>649</v>
      </c>
      <c r="E370" s="23" t="str">
        <f>HYPERLINK("http://www.springer.com/gp/book/9780387362298","Functional Thin Films and Nanostructures for Sensors")</f>
        <v>Functional Thin Films and Nanostructures for Sensors</v>
      </c>
      <c r="F370" s="24">
        <v>2009</v>
      </c>
      <c r="G370" s="25" t="s">
        <v>957</v>
      </c>
      <c r="H370" s="70">
        <v>150.14</v>
      </c>
      <c r="I370" s="26">
        <v>25</v>
      </c>
      <c r="J370" s="68">
        <v>112.61</v>
      </c>
      <c r="K370" s="84">
        <v>129.99</v>
      </c>
      <c r="L370" s="85" t="s">
        <v>958</v>
      </c>
      <c r="M370" s="27" t="s">
        <v>977</v>
      </c>
      <c r="N370" s="25"/>
      <c r="O370" s="20" t="s">
        <v>3</v>
      </c>
      <c r="P370" s="25" t="s">
        <v>650</v>
      </c>
      <c r="Q370" s="25" t="s">
        <v>651</v>
      </c>
    </row>
    <row r="371" spans="1:17" ht="13.5" customHeight="1">
      <c r="A371" s="19" t="s">
        <v>615</v>
      </c>
      <c r="B371" s="20" t="s">
        <v>1240</v>
      </c>
      <c r="C371" s="21">
        <v>9783642338816</v>
      </c>
      <c r="D371" s="22" t="s">
        <v>357</v>
      </c>
      <c r="E371" s="23" t="str">
        <f>HYPERLINK("http://www.springer.com/gp/book/9783642338816","Tribology of Nanocomposites")</f>
        <v>Tribology of Nanocomposites</v>
      </c>
      <c r="F371" s="24">
        <v>2013</v>
      </c>
      <c r="G371" s="25" t="s">
        <v>957</v>
      </c>
      <c r="H371" s="70">
        <v>132.81</v>
      </c>
      <c r="I371" s="26">
        <v>20</v>
      </c>
      <c r="J371" s="68">
        <v>106.25</v>
      </c>
      <c r="K371" s="84">
        <v>114.99</v>
      </c>
      <c r="L371" s="85" t="s">
        <v>958</v>
      </c>
      <c r="M371" s="27" t="s">
        <v>977</v>
      </c>
      <c r="N371" s="25"/>
      <c r="O371" s="20" t="s">
        <v>3</v>
      </c>
      <c r="P371" s="25"/>
      <c r="Q371" s="25" t="s">
        <v>359</v>
      </c>
    </row>
    <row r="372" spans="1:17" ht="13.5" customHeight="1">
      <c r="A372" s="19" t="s">
        <v>655</v>
      </c>
      <c r="B372" s="20" t="s">
        <v>1301</v>
      </c>
      <c r="C372" s="21">
        <v>9780817645441</v>
      </c>
      <c r="D372" s="22" t="s">
        <v>687</v>
      </c>
      <c r="E372" s="23" t="str">
        <f>HYPERLINK("http://www.springer.com/gp/book/9780817645441","Advances in Mathematical Finance")</f>
        <v>Advances in Mathematical Finance</v>
      </c>
      <c r="F372" s="24">
        <v>2007</v>
      </c>
      <c r="G372" s="25" t="s">
        <v>957</v>
      </c>
      <c r="H372" s="70">
        <v>127.04</v>
      </c>
      <c r="I372" s="26">
        <v>30</v>
      </c>
      <c r="J372" s="68">
        <v>88.93</v>
      </c>
      <c r="K372" s="84">
        <v>109.99</v>
      </c>
      <c r="L372" s="85" t="s">
        <v>958</v>
      </c>
      <c r="M372" s="27" t="s">
        <v>977</v>
      </c>
      <c r="N372" s="25"/>
      <c r="O372" s="20" t="s">
        <v>98</v>
      </c>
      <c r="P372" s="25"/>
      <c r="Q372" s="25" t="s">
        <v>685</v>
      </c>
    </row>
    <row r="373" spans="1:17" ht="13.5" customHeight="1">
      <c r="A373" s="19" t="s">
        <v>655</v>
      </c>
      <c r="B373" s="20" t="s">
        <v>1310</v>
      </c>
      <c r="C373" s="21">
        <v>9780387900896</v>
      </c>
      <c r="D373" s="22" t="s">
        <v>747</v>
      </c>
      <c r="E373" s="23" t="str">
        <f>HYPERLINK("http://www.springer.com/gp/book/9780387900896","Commutative Algebra I")</f>
        <v>Commutative Algebra I</v>
      </c>
      <c r="F373" s="24">
        <v>1975</v>
      </c>
      <c r="G373" s="25" t="s">
        <v>957</v>
      </c>
      <c r="H373" s="70">
        <v>70.89</v>
      </c>
      <c r="I373" s="26">
        <v>30</v>
      </c>
      <c r="J373" s="68">
        <v>49.62</v>
      </c>
      <c r="K373" s="84">
        <v>59.95</v>
      </c>
      <c r="L373" s="85" t="s">
        <v>958</v>
      </c>
      <c r="M373" s="27" t="s">
        <v>977</v>
      </c>
      <c r="N373" s="25"/>
      <c r="O373" s="20" t="s">
        <v>22</v>
      </c>
      <c r="P373" s="25"/>
      <c r="Q373" s="25" t="s">
        <v>749</v>
      </c>
    </row>
    <row r="374" spans="1:17" ht="13.5" customHeight="1">
      <c r="A374" s="19" t="s">
        <v>655</v>
      </c>
      <c r="B374" s="20" t="s">
        <v>1310</v>
      </c>
      <c r="C374" s="21">
        <v>9780387220253</v>
      </c>
      <c r="D374" s="22" t="s">
        <v>294</v>
      </c>
      <c r="E374" s="23" t="str">
        <f>HYPERLINK("http://www.springer.com/gp/book/9780387220253","Undergraduate Algebra")</f>
        <v>Undergraduate Algebra</v>
      </c>
      <c r="F374" s="24">
        <v>2005</v>
      </c>
      <c r="G374" s="25" t="s">
        <v>957</v>
      </c>
      <c r="H374" s="70">
        <v>64.98</v>
      </c>
      <c r="I374" s="26">
        <v>30</v>
      </c>
      <c r="J374" s="68">
        <v>45.49</v>
      </c>
      <c r="K374" s="84">
        <v>54.95</v>
      </c>
      <c r="L374" s="85" t="s">
        <v>958</v>
      </c>
      <c r="M374" s="27" t="s">
        <v>977</v>
      </c>
      <c r="N374" s="25" t="s">
        <v>1054</v>
      </c>
      <c r="O374" s="20" t="s">
        <v>183</v>
      </c>
      <c r="P374" s="25"/>
      <c r="Q374" s="25" t="s">
        <v>697</v>
      </c>
    </row>
    <row r="375" spans="1:17" ht="13.5" customHeight="1">
      <c r="A375" s="19" t="s">
        <v>655</v>
      </c>
      <c r="B375" s="20" t="s">
        <v>1310</v>
      </c>
      <c r="C375" s="21">
        <v>9783540718963</v>
      </c>
      <c r="D375" s="22" t="s">
        <v>663</v>
      </c>
      <c r="E375" s="23" t="str">
        <f>HYPERLINK("http://www.springer.com/gp/book/9783540718963","Stratified Lie Groups and Potential Theory for Their Sub-Laplacians")</f>
        <v>Stratified Lie Groups and Potential Theory for Their Sub-Laplacians</v>
      </c>
      <c r="F375" s="24">
        <v>2007</v>
      </c>
      <c r="G375" s="25" t="s">
        <v>957</v>
      </c>
      <c r="H375" s="70">
        <v>98.14</v>
      </c>
      <c r="I375" s="26">
        <v>30</v>
      </c>
      <c r="J375" s="68">
        <v>68.7</v>
      </c>
      <c r="K375" s="84">
        <v>82.99</v>
      </c>
      <c r="L375" s="85" t="s">
        <v>958</v>
      </c>
      <c r="M375" s="27" t="s">
        <v>977</v>
      </c>
      <c r="N375" s="25"/>
      <c r="O375" s="20" t="s">
        <v>3</v>
      </c>
      <c r="P375" s="25"/>
      <c r="Q375" s="25" t="s">
        <v>664</v>
      </c>
    </row>
    <row r="376" spans="1:17" ht="13.5" customHeight="1">
      <c r="A376" s="19" t="s">
        <v>655</v>
      </c>
      <c r="B376" s="20" t="s">
        <v>1310</v>
      </c>
      <c r="C376" s="21">
        <v>9780387746463</v>
      </c>
      <c r="D376" s="22" t="s">
        <v>739</v>
      </c>
      <c r="E376" s="23" t="str">
        <f>HYPERLINK("http://www.springer.com/gp/book/9780387746463","Mathematics as Problem Solving")</f>
        <v>Mathematics as Problem Solving</v>
      </c>
      <c r="F376" s="24">
        <v>2009</v>
      </c>
      <c r="G376" s="25" t="s">
        <v>957</v>
      </c>
      <c r="H376" s="70">
        <v>47.24</v>
      </c>
      <c r="I376" s="26">
        <v>25</v>
      </c>
      <c r="J376" s="68">
        <v>35.43</v>
      </c>
      <c r="K376" s="84">
        <v>39.95</v>
      </c>
      <c r="L376" s="85" t="s">
        <v>958</v>
      </c>
      <c r="M376" s="27" t="s">
        <v>995</v>
      </c>
      <c r="N376" s="25" t="s">
        <v>1061</v>
      </c>
      <c r="O376" s="20" t="s">
        <v>183</v>
      </c>
      <c r="P376" s="25"/>
      <c r="Q376" s="25"/>
    </row>
    <row r="377" spans="1:17" s="6" customFormat="1" ht="13.5" customHeight="1">
      <c r="A377" s="19" t="s">
        <v>655</v>
      </c>
      <c r="B377" s="20" t="s">
        <v>1310</v>
      </c>
      <c r="C377" s="21">
        <v>9780387875743</v>
      </c>
      <c r="D377" s="22" t="s">
        <v>746</v>
      </c>
      <c r="E377" s="23" t="str">
        <f>HYPERLINK("http://www.springer.com/gp/book/9780387875743","Galois Theory")</f>
        <v>Galois Theory</v>
      </c>
      <c r="F377" s="24">
        <v>2009</v>
      </c>
      <c r="G377" s="25" t="s">
        <v>957</v>
      </c>
      <c r="H377" s="70">
        <v>50.79</v>
      </c>
      <c r="I377" s="26">
        <v>25</v>
      </c>
      <c r="J377" s="68">
        <v>38.09</v>
      </c>
      <c r="K377" s="84">
        <v>42.95</v>
      </c>
      <c r="L377" s="85" t="s">
        <v>958</v>
      </c>
      <c r="M377" s="27" t="s">
        <v>995</v>
      </c>
      <c r="N377" s="25" t="s">
        <v>1061</v>
      </c>
      <c r="O377" s="20" t="s">
        <v>22</v>
      </c>
      <c r="P377" s="25"/>
      <c r="Q377" s="25" t="s">
        <v>678</v>
      </c>
    </row>
    <row r="378" spans="1:17" ht="13.5" customHeight="1">
      <c r="A378" s="19" t="s">
        <v>655</v>
      </c>
      <c r="B378" s="20" t="s">
        <v>1310</v>
      </c>
      <c r="C378" s="21">
        <v>9783540768777</v>
      </c>
      <c r="D378" s="22" t="s">
        <v>742</v>
      </c>
      <c r="E378" s="23" t="str">
        <f>HYPERLINK("http://www.springer.com/gp/book/9783540768777","Algebraic Function Fields and Codes")</f>
        <v>Algebraic Function Fields and Codes</v>
      </c>
      <c r="F378" s="24">
        <v>2009</v>
      </c>
      <c r="G378" s="25" t="s">
        <v>957</v>
      </c>
      <c r="H378" s="70">
        <v>53.2</v>
      </c>
      <c r="I378" s="26">
        <v>25</v>
      </c>
      <c r="J378" s="68">
        <v>39.9</v>
      </c>
      <c r="K378" s="84">
        <v>44.99</v>
      </c>
      <c r="L378" s="85" t="s">
        <v>958</v>
      </c>
      <c r="M378" s="27" t="s">
        <v>977</v>
      </c>
      <c r="N378" s="25" t="s">
        <v>1061</v>
      </c>
      <c r="O378" s="20" t="s">
        <v>22</v>
      </c>
      <c r="P378" s="25"/>
      <c r="Q378" s="25" t="s">
        <v>743</v>
      </c>
    </row>
    <row r="379" spans="1:17" ht="13.5" customHeight="1">
      <c r="A379" s="19" t="s">
        <v>655</v>
      </c>
      <c r="B379" s="20" t="s">
        <v>1197</v>
      </c>
      <c r="C379" s="21">
        <v>9780387940205</v>
      </c>
      <c r="D379" s="22" t="s">
        <v>677</v>
      </c>
      <c r="E379" s="23" t="str">
        <f>HYPERLINK("http://www.springer.com/gp/book/9780387940205","Degenerate Parabolic Equations")</f>
        <v>Degenerate Parabolic Equations</v>
      </c>
      <c r="F379" s="24">
        <v>1993</v>
      </c>
      <c r="G379" s="25" t="s">
        <v>957</v>
      </c>
      <c r="H379" s="70">
        <v>106.41</v>
      </c>
      <c r="I379" s="26">
        <v>30</v>
      </c>
      <c r="J379" s="68">
        <v>74.49</v>
      </c>
      <c r="K379" s="84">
        <v>89.99</v>
      </c>
      <c r="L379" s="85" t="s">
        <v>958</v>
      </c>
      <c r="M379" s="27" t="s">
        <v>995</v>
      </c>
      <c r="N379" s="25"/>
      <c r="O379" s="20" t="s">
        <v>3</v>
      </c>
      <c r="P379" s="25"/>
      <c r="Q379" s="25" t="s">
        <v>678</v>
      </c>
    </row>
    <row r="380" spans="1:17" ht="13.5" customHeight="1">
      <c r="A380" s="19" t="s">
        <v>655</v>
      </c>
      <c r="B380" s="20" t="s">
        <v>1197</v>
      </c>
      <c r="C380" s="21">
        <v>9783540939825</v>
      </c>
      <c r="D380" s="22" t="s">
        <v>686</v>
      </c>
      <c r="E380" s="23" t="str">
        <f>HYPERLINK("http://www.springer.com/gp/book/9783540939825","Complex Analysis")</f>
        <v>Complex Analysis</v>
      </c>
      <c r="F380" s="24">
        <v>2009</v>
      </c>
      <c r="G380" s="25" t="s">
        <v>957</v>
      </c>
      <c r="H380" s="70">
        <v>53.15</v>
      </c>
      <c r="I380" s="26">
        <v>25</v>
      </c>
      <c r="J380" s="68">
        <v>39.86</v>
      </c>
      <c r="K380" s="84">
        <v>44.95</v>
      </c>
      <c r="L380" s="85" t="s">
        <v>958</v>
      </c>
      <c r="M380" s="27" t="s">
        <v>995</v>
      </c>
      <c r="N380" s="25" t="s">
        <v>1061</v>
      </c>
      <c r="O380" s="20" t="s">
        <v>22</v>
      </c>
      <c r="P380" s="25"/>
      <c r="Q380" s="25" t="s">
        <v>678</v>
      </c>
    </row>
    <row r="381" spans="1:17" ht="13.5" customHeight="1">
      <c r="A381" s="19" t="s">
        <v>655</v>
      </c>
      <c r="B381" s="20" t="s">
        <v>1197</v>
      </c>
      <c r="C381" s="21">
        <v>9780387789323</v>
      </c>
      <c r="D381" s="22" t="s">
        <v>727</v>
      </c>
      <c r="E381" s="23" t="str">
        <f>HYPERLINK("http://www.springer.com/gp/book/9780387789323","A Concrete Approach to Classical Analysis")</f>
        <v>A Concrete Approach to Classical Analysis</v>
      </c>
      <c r="F381" s="24">
        <v>2009</v>
      </c>
      <c r="G381" s="25" t="s">
        <v>957</v>
      </c>
      <c r="H381" s="70">
        <v>55.52</v>
      </c>
      <c r="I381" s="26">
        <v>25</v>
      </c>
      <c r="J381" s="68">
        <v>41.64</v>
      </c>
      <c r="K381" s="84">
        <v>46.95</v>
      </c>
      <c r="L381" s="85" t="s">
        <v>958</v>
      </c>
      <c r="M381" s="27" t="s">
        <v>977</v>
      </c>
      <c r="N381" s="25"/>
      <c r="O381" s="20" t="s">
        <v>183</v>
      </c>
      <c r="P381" s="25"/>
      <c r="Q381" s="25" t="s">
        <v>728</v>
      </c>
    </row>
    <row r="382" spans="1:17" ht="13.5" customHeight="1">
      <c r="A382" s="19" t="s">
        <v>655</v>
      </c>
      <c r="B382" s="20" t="s">
        <v>1197</v>
      </c>
      <c r="C382" s="21">
        <v>9783764387488</v>
      </c>
      <c r="D382" s="22" t="s">
        <v>714</v>
      </c>
      <c r="E382" s="23" t="str">
        <f>HYPERLINK("http://www.springer.com/gp/book/9783764387488","An Introduction to the Theory of Functional Equations and Inequalities")</f>
        <v>An Introduction to the Theory of Functional Equations and Inequalities</v>
      </c>
      <c r="F382" s="24">
        <v>2009</v>
      </c>
      <c r="G382" s="25" t="s">
        <v>957</v>
      </c>
      <c r="H382" s="70">
        <v>82.66</v>
      </c>
      <c r="I382" s="26">
        <v>25</v>
      </c>
      <c r="J382" s="68">
        <v>62</v>
      </c>
      <c r="K382" s="84">
        <v>69.9</v>
      </c>
      <c r="L382" s="85" t="s">
        <v>958</v>
      </c>
      <c r="M382" s="27" t="s">
        <v>995</v>
      </c>
      <c r="N382" s="25" t="s">
        <v>1061</v>
      </c>
      <c r="O382" s="20" t="s">
        <v>22</v>
      </c>
      <c r="P382" s="25" t="s">
        <v>715</v>
      </c>
      <c r="Q382" s="25"/>
    </row>
    <row r="383" spans="1:17" ht="13.5" customHeight="1">
      <c r="A383" s="19" t="s">
        <v>655</v>
      </c>
      <c r="B383" s="20" t="s">
        <v>1202</v>
      </c>
      <c r="C383" s="21">
        <v>9783540719793</v>
      </c>
      <c r="D383" s="22" t="s">
        <v>672</v>
      </c>
      <c r="E383" s="23" t="str">
        <f>HYPERLINK("http://www.springer.com/gp/book/9783540719793","Scientific Computing in Electrical Engineering")</f>
        <v>Scientific Computing in Electrical Engineering</v>
      </c>
      <c r="F383" s="24">
        <v>2007</v>
      </c>
      <c r="G383" s="25" t="s">
        <v>957</v>
      </c>
      <c r="H383" s="70">
        <v>173.24</v>
      </c>
      <c r="I383" s="26">
        <v>30</v>
      </c>
      <c r="J383" s="68">
        <v>121.27</v>
      </c>
      <c r="K383" s="84">
        <v>149.99</v>
      </c>
      <c r="L383" s="85" t="s">
        <v>958</v>
      </c>
      <c r="M383" s="27" t="s">
        <v>977</v>
      </c>
      <c r="N383" s="25"/>
      <c r="O383" s="20" t="s">
        <v>28</v>
      </c>
      <c r="P383" s="25"/>
      <c r="Q383" s="25" t="s">
        <v>673</v>
      </c>
    </row>
    <row r="384" spans="1:17" ht="13.5" customHeight="1">
      <c r="A384" s="19" t="s">
        <v>655</v>
      </c>
      <c r="B384" s="20" t="s">
        <v>1202</v>
      </c>
      <c r="C384" s="21">
        <v>9780817649470</v>
      </c>
      <c r="D384" s="22" t="s">
        <v>684</v>
      </c>
      <c r="E384" s="23" t="str">
        <f>HYPERLINK("http://www.springer.com/gp/book/9780817649470","A Mathematical Introduction to Compressive Sensing")</f>
        <v>A Mathematical Introduction to Compressive Sensing</v>
      </c>
      <c r="F384" s="24">
        <v>2013</v>
      </c>
      <c r="G384" s="25" t="s">
        <v>957</v>
      </c>
      <c r="H384" s="70">
        <v>82.76</v>
      </c>
      <c r="I384" s="26">
        <v>20</v>
      </c>
      <c r="J384" s="68">
        <v>66.21</v>
      </c>
      <c r="K384" s="84">
        <v>69.99</v>
      </c>
      <c r="L384" s="85" t="s">
        <v>958</v>
      </c>
      <c r="M384" s="27" t="s">
        <v>977</v>
      </c>
      <c r="N384" s="25"/>
      <c r="O384" s="20" t="s">
        <v>22</v>
      </c>
      <c r="P384" s="25"/>
      <c r="Q384" s="25" t="s">
        <v>685</v>
      </c>
    </row>
    <row r="385" spans="1:17" ht="13.5" customHeight="1">
      <c r="A385" s="19" t="s">
        <v>655</v>
      </c>
      <c r="B385" s="20" t="s">
        <v>1305</v>
      </c>
      <c r="C385" s="21">
        <v>9783540307273</v>
      </c>
      <c r="D385" s="22" t="s">
        <v>669</v>
      </c>
      <c r="E385" s="23" t="str">
        <f>HYPERLINK("http://www.springer.com/gp/book/9783540307273","Spectral Methods")</f>
        <v>Spectral Methods</v>
      </c>
      <c r="F385" s="24">
        <v>2007</v>
      </c>
      <c r="G385" s="25" t="s">
        <v>957</v>
      </c>
      <c r="H385" s="70">
        <v>106.37</v>
      </c>
      <c r="I385" s="26">
        <v>30</v>
      </c>
      <c r="J385" s="68">
        <v>74.46</v>
      </c>
      <c r="K385" s="84">
        <v>89.95</v>
      </c>
      <c r="L385" s="85" t="s">
        <v>958</v>
      </c>
      <c r="M385" s="27" t="s">
        <v>977</v>
      </c>
      <c r="N385" s="25"/>
      <c r="O385" s="20" t="s">
        <v>3</v>
      </c>
      <c r="P385" s="25" t="s">
        <v>670</v>
      </c>
      <c r="Q385" s="25" t="s">
        <v>671</v>
      </c>
    </row>
    <row r="386" spans="1:17" ht="13.5" customHeight="1">
      <c r="A386" s="19" t="s">
        <v>655</v>
      </c>
      <c r="B386" s="20" t="s">
        <v>1305</v>
      </c>
      <c r="C386" s="21">
        <v>9780387855288</v>
      </c>
      <c r="D386" s="22" t="s">
        <v>724</v>
      </c>
      <c r="E386" s="23" t="str">
        <f>HYPERLINK("http://www.springer.com/gp/book/9780387855288","Elementary Functional Analysis")</f>
        <v>Elementary Functional Analysis</v>
      </c>
      <c r="F386" s="24">
        <v>2009</v>
      </c>
      <c r="G386" s="25" t="s">
        <v>957</v>
      </c>
      <c r="H386" s="70">
        <v>41.33</v>
      </c>
      <c r="I386" s="26">
        <v>25</v>
      </c>
      <c r="J386" s="68">
        <v>31</v>
      </c>
      <c r="K386" s="84">
        <v>34.95</v>
      </c>
      <c r="L386" s="85" t="s">
        <v>958</v>
      </c>
      <c r="M386" s="27" t="s">
        <v>977</v>
      </c>
      <c r="N386" s="25"/>
      <c r="O386" s="20" t="s">
        <v>22</v>
      </c>
      <c r="P386" s="25"/>
      <c r="Q386" s="25" t="s">
        <v>725</v>
      </c>
    </row>
    <row r="387" spans="1:17" ht="13.5" customHeight="1">
      <c r="A387" s="19" t="s">
        <v>655</v>
      </c>
      <c r="B387" s="20" t="s">
        <v>1305</v>
      </c>
      <c r="C387" s="21">
        <v>9780387848945</v>
      </c>
      <c r="D387" s="22" t="s">
        <v>692</v>
      </c>
      <c r="E387" s="23" t="str">
        <f>HYPERLINK("http://www.springer.com/gp/book/9780387848945","Distributions and Operators")</f>
        <v>Distributions and Operators</v>
      </c>
      <c r="F387" s="24">
        <v>2009</v>
      </c>
      <c r="G387" s="25" t="s">
        <v>957</v>
      </c>
      <c r="H387" s="70">
        <v>55.52</v>
      </c>
      <c r="I387" s="26">
        <v>25</v>
      </c>
      <c r="J387" s="68">
        <v>41.64</v>
      </c>
      <c r="K387" s="84">
        <v>46.95</v>
      </c>
      <c r="L387" s="85" t="s">
        <v>958</v>
      </c>
      <c r="M387" s="27" t="s">
        <v>977</v>
      </c>
      <c r="N387" s="25"/>
      <c r="O387" s="20" t="s">
        <v>22</v>
      </c>
      <c r="P387" s="25"/>
      <c r="Q387" s="25" t="s">
        <v>693</v>
      </c>
    </row>
    <row r="388" spans="1:17" ht="13.5" customHeight="1">
      <c r="A388" s="19" t="s">
        <v>655</v>
      </c>
      <c r="B388" s="20" t="s">
        <v>1196</v>
      </c>
      <c r="C388" s="21">
        <v>9783764388263</v>
      </c>
      <c r="D388" s="22" t="s">
        <v>729</v>
      </c>
      <c r="E388" s="23" t="str">
        <f>HYPERLINK("http://www.springer.com/gp/book/9783764388263","Group-based Cryptography")</f>
        <v>Group-based Cryptography</v>
      </c>
      <c r="F388" s="24">
        <v>2008</v>
      </c>
      <c r="G388" s="25" t="s">
        <v>957</v>
      </c>
      <c r="H388" s="70">
        <v>35.42</v>
      </c>
      <c r="I388" s="26">
        <v>25</v>
      </c>
      <c r="J388" s="68">
        <v>26.57</v>
      </c>
      <c r="K388" s="84">
        <v>29.95</v>
      </c>
      <c r="L388" s="85" t="s">
        <v>958</v>
      </c>
      <c r="M388" s="27" t="s">
        <v>995</v>
      </c>
      <c r="N388" s="25"/>
      <c r="O388" s="20" t="s">
        <v>22</v>
      </c>
      <c r="P388" s="25"/>
      <c r="Q388" s="25" t="s">
        <v>660</v>
      </c>
    </row>
    <row r="389" spans="1:17" ht="13.5" customHeight="1">
      <c r="A389" s="19" t="s">
        <v>655</v>
      </c>
      <c r="B389" s="20" t="s">
        <v>1196</v>
      </c>
      <c r="C389" s="21">
        <v>9780387798516</v>
      </c>
      <c r="D389" s="22" t="s">
        <v>690</v>
      </c>
      <c r="E389" s="23" t="str">
        <f>HYPERLINK("http://www.springer.com/gp/book/9780387798516","Symmetry, Representations, and Invariants")</f>
        <v>Symmetry, Representations, and Invariants</v>
      </c>
      <c r="F389" s="24">
        <v>2009</v>
      </c>
      <c r="G389" s="25" t="s">
        <v>957</v>
      </c>
      <c r="H389" s="70">
        <v>70.89</v>
      </c>
      <c r="I389" s="26">
        <v>25</v>
      </c>
      <c r="J389" s="68">
        <v>53.17</v>
      </c>
      <c r="K389" s="84">
        <v>59.95</v>
      </c>
      <c r="L389" s="85" t="s">
        <v>958</v>
      </c>
      <c r="M389" s="27" t="s">
        <v>977</v>
      </c>
      <c r="N389" s="25"/>
      <c r="O389" s="20" t="s">
        <v>22</v>
      </c>
      <c r="P389" s="25"/>
      <c r="Q389" s="25" t="s">
        <v>691</v>
      </c>
    </row>
    <row r="390" spans="1:17" ht="13.5" customHeight="1">
      <c r="A390" s="19" t="s">
        <v>655</v>
      </c>
      <c r="B390" s="20" t="s">
        <v>1205</v>
      </c>
      <c r="C390" s="21">
        <v>9783540434665</v>
      </c>
      <c r="D390" s="22" t="s">
        <v>667</v>
      </c>
      <c r="E390" s="23" t="str">
        <f>HYPERLINK("http://www.springer.com/gp/book/9783540434665","Information and Randomness")</f>
        <v>Information and Randomness</v>
      </c>
      <c r="F390" s="24">
        <v>2002</v>
      </c>
      <c r="G390" s="25" t="s">
        <v>957</v>
      </c>
      <c r="H390" s="70">
        <v>94.54</v>
      </c>
      <c r="I390" s="26">
        <v>30</v>
      </c>
      <c r="J390" s="68">
        <v>66.18</v>
      </c>
      <c r="K390" s="84">
        <v>79.95</v>
      </c>
      <c r="L390" s="85" t="s">
        <v>958</v>
      </c>
      <c r="M390" s="27" t="s">
        <v>977</v>
      </c>
      <c r="N390" s="25" t="s">
        <v>1061</v>
      </c>
      <c r="O390" s="20" t="s">
        <v>22</v>
      </c>
      <c r="P390" s="25" t="s">
        <v>668</v>
      </c>
      <c r="Q390" s="25" t="s">
        <v>232</v>
      </c>
    </row>
    <row r="391" spans="1:17" ht="13.5" customHeight="1">
      <c r="A391" s="19" t="s">
        <v>655</v>
      </c>
      <c r="B391" s="20" t="s">
        <v>1204</v>
      </c>
      <c r="C391" s="21">
        <v>9780387950723</v>
      </c>
      <c r="D391" s="22" t="s">
        <v>700</v>
      </c>
      <c r="E391" s="23" t="str">
        <f>HYPERLINK("http://www.springer.com/gp/book/9780387950723","Modeling and Simulation in Medicine and the Life Sciences")</f>
        <v>Modeling and Simulation in Medicine and the Life Sciences</v>
      </c>
      <c r="F391" s="24">
        <v>2002</v>
      </c>
      <c r="G391" s="25" t="s">
        <v>957</v>
      </c>
      <c r="H391" s="70">
        <v>70.89</v>
      </c>
      <c r="I391" s="26">
        <v>30</v>
      </c>
      <c r="J391" s="68">
        <v>49.62</v>
      </c>
      <c r="K391" s="84">
        <v>59.95</v>
      </c>
      <c r="L391" s="85" t="s">
        <v>958</v>
      </c>
      <c r="M391" s="27" t="s">
        <v>977</v>
      </c>
      <c r="N391" s="25" t="s">
        <v>1061</v>
      </c>
      <c r="O391" s="20" t="s">
        <v>22</v>
      </c>
      <c r="P391" s="25"/>
      <c r="Q391" s="25" t="s">
        <v>701</v>
      </c>
    </row>
    <row r="392" spans="1:17" ht="13.5" customHeight="1">
      <c r="A392" s="19" t="s">
        <v>655</v>
      </c>
      <c r="B392" s="20" t="s">
        <v>1204</v>
      </c>
      <c r="C392" s="21">
        <v>9780387692159</v>
      </c>
      <c r="D392" s="22" t="s">
        <v>735</v>
      </c>
      <c r="E392" s="23" t="str">
        <f>HYPERLINK("http://www.springer.com/gp/book/9780387692159","Mathematics and Technology")</f>
        <v>Mathematics and Technology</v>
      </c>
      <c r="F392" s="24">
        <v>2008</v>
      </c>
      <c r="G392" s="25" t="s">
        <v>957</v>
      </c>
      <c r="H392" s="70">
        <v>57.88</v>
      </c>
      <c r="I392" s="26">
        <v>25</v>
      </c>
      <c r="J392" s="68">
        <v>43.41</v>
      </c>
      <c r="K392" s="84">
        <v>48.95</v>
      </c>
      <c r="L392" s="85" t="s">
        <v>958</v>
      </c>
      <c r="M392" s="27" t="s">
        <v>977</v>
      </c>
      <c r="N392" s="25"/>
      <c r="O392" s="20" t="s">
        <v>22</v>
      </c>
      <c r="P392" s="25"/>
      <c r="Q392" s="25" t="s">
        <v>719</v>
      </c>
    </row>
    <row r="393" spans="1:17" ht="13.5" customHeight="1">
      <c r="A393" s="19" t="s">
        <v>655</v>
      </c>
      <c r="B393" s="20" t="s">
        <v>1203</v>
      </c>
      <c r="C393" s="21">
        <v>9783764389390</v>
      </c>
      <c r="D393" s="22" t="s">
        <v>659</v>
      </c>
      <c r="E393" s="23" t="str">
        <f>HYPERLINK("http://www.springer.com/gp/book/9783764389390","Numerical Solutions of Partial Differential Equations")</f>
        <v>Numerical Solutions of Partial Differential Equations</v>
      </c>
      <c r="F393" s="24">
        <v>2009</v>
      </c>
      <c r="G393" s="25" t="s">
        <v>957</v>
      </c>
      <c r="H393" s="70">
        <v>35.36</v>
      </c>
      <c r="I393" s="26">
        <v>25</v>
      </c>
      <c r="J393" s="68">
        <v>26.52</v>
      </c>
      <c r="K393" s="84">
        <v>29.9</v>
      </c>
      <c r="L393" s="85" t="s">
        <v>958</v>
      </c>
      <c r="M393" s="27" t="s">
        <v>995</v>
      </c>
      <c r="N393" s="25"/>
      <c r="O393" s="20" t="s">
        <v>22</v>
      </c>
      <c r="P393" s="25"/>
      <c r="Q393" s="25" t="s">
        <v>660</v>
      </c>
    </row>
    <row r="394" spans="1:17" s="6" customFormat="1" ht="13.5" customHeight="1">
      <c r="A394" s="19" t="s">
        <v>655</v>
      </c>
      <c r="B394" s="20" t="s">
        <v>1206</v>
      </c>
      <c r="C394" s="21">
        <v>9780387497044</v>
      </c>
      <c r="D394" s="22" t="s">
        <v>720</v>
      </c>
      <c r="E394" s="23" t="str">
        <f>HYPERLINK("http://www.springer.com/gp/book/9780387497044","Queueing Theory")</f>
        <v>Queueing Theory</v>
      </c>
      <c r="F394" s="24">
        <v>2009</v>
      </c>
      <c r="G394" s="25" t="s">
        <v>957</v>
      </c>
      <c r="H394" s="70">
        <v>74.44</v>
      </c>
      <c r="I394" s="26">
        <v>25</v>
      </c>
      <c r="J394" s="68">
        <v>55.83</v>
      </c>
      <c r="K394" s="84">
        <v>62.95</v>
      </c>
      <c r="L394" s="85" t="s">
        <v>958</v>
      </c>
      <c r="M394" s="27" t="s">
        <v>977</v>
      </c>
      <c r="N394" s="25" t="s">
        <v>1061</v>
      </c>
      <c r="O394" s="20" t="s">
        <v>22</v>
      </c>
      <c r="P394" s="25" t="s">
        <v>721</v>
      </c>
      <c r="Q394" s="25"/>
    </row>
    <row r="395" spans="1:17" s="6" customFormat="1" ht="13.5" customHeight="1">
      <c r="A395" s="19" t="s">
        <v>655</v>
      </c>
      <c r="B395" s="20" t="s">
        <v>1201</v>
      </c>
      <c r="C395" s="21">
        <v>9780387789002</v>
      </c>
      <c r="D395" s="22" t="s">
        <v>733</v>
      </c>
      <c r="E395" s="23" t="str">
        <f>HYPERLINK("http://www.springer.com/gp/book/9780387789002","Lattices and Ordered Sets")</f>
        <v>Lattices and Ordered Sets</v>
      </c>
      <c r="F395" s="24">
        <v>2008</v>
      </c>
      <c r="G395" s="25" t="s">
        <v>957</v>
      </c>
      <c r="H395" s="70">
        <v>70.89</v>
      </c>
      <c r="I395" s="26">
        <v>25</v>
      </c>
      <c r="J395" s="68">
        <v>53.17</v>
      </c>
      <c r="K395" s="84">
        <v>59.95</v>
      </c>
      <c r="L395" s="85" t="s">
        <v>958</v>
      </c>
      <c r="M395" s="27" t="s">
        <v>977</v>
      </c>
      <c r="N395" s="25"/>
      <c r="O395" s="20" t="s">
        <v>22</v>
      </c>
      <c r="P395" s="25"/>
      <c r="Q395" s="25"/>
    </row>
    <row r="396" spans="1:17" ht="13.5" customHeight="1">
      <c r="A396" s="19" t="s">
        <v>655</v>
      </c>
      <c r="B396" s="20" t="s">
        <v>1200</v>
      </c>
      <c r="C396" s="21">
        <v>9783540712244</v>
      </c>
      <c r="D396" s="22" t="s">
        <v>731</v>
      </c>
      <c r="E396" s="23" t="str">
        <f>HYPERLINK("http://www.springer.com/gp/book/9783540712244","Attractivity and Bifurcation for Nonautonomous Dynamical Systems")</f>
        <v>Attractivity and Bifurcation for Nonautonomous Dynamical Systems</v>
      </c>
      <c r="F396" s="24">
        <v>2007</v>
      </c>
      <c r="G396" s="25" t="s">
        <v>957</v>
      </c>
      <c r="H396" s="70">
        <v>53.15</v>
      </c>
      <c r="I396" s="26">
        <v>30</v>
      </c>
      <c r="J396" s="68">
        <v>37.21</v>
      </c>
      <c r="K396" s="84">
        <v>44.95</v>
      </c>
      <c r="L396" s="85" t="s">
        <v>958</v>
      </c>
      <c r="M396" s="27" t="s">
        <v>995</v>
      </c>
      <c r="N396" s="25"/>
      <c r="O396" s="20" t="s">
        <v>3</v>
      </c>
      <c r="P396" s="25"/>
      <c r="Q396" s="25" t="s">
        <v>732</v>
      </c>
    </row>
    <row r="397" spans="1:17" ht="13.5" customHeight="1">
      <c r="A397" s="19" t="s">
        <v>655</v>
      </c>
      <c r="B397" s="20" t="s">
        <v>1304</v>
      </c>
      <c r="C397" s="21">
        <v>9783034805360</v>
      </c>
      <c r="D397" s="22" t="s">
        <v>703</v>
      </c>
      <c r="E397" s="23" t="str">
        <f>HYPERLINK("http://www.springer.com/gp/book/9783034805360","Operator Theory, Pseudo-Differential Equations, and Mathematical Physics")</f>
        <v>Operator Theory, Pseudo-Differential Equations, and Mathematical Physics</v>
      </c>
      <c r="F397" s="24">
        <v>2013</v>
      </c>
      <c r="G397" s="25" t="s">
        <v>957</v>
      </c>
      <c r="H397" s="70">
        <v>138.54</v>
      </c>
      <c r="I397" s="26">
        <v>20</v>
      </c>
      <c r="J397" s="68">
        <v>110.83</v>
      </c>
      <c r="K397" s="84">
        <v>119.95</v>
      </c>
      <c r="L397" s="85" t="s">
        <v>958</v>
      </c>
      <c r="M397" s="27" t="s">
        <v>977</v>
      </c>
      <c r="N397" s="25"/>
      <c r="O397" s="20" t="s">
        <v>705</v>
      </c>
      <c r="P397" s="25" t="s">
        <v>704</v>
      </c>
      <c r="Q397" s="25" t="s">
        <v>706</v>
      </c>
    </row>
    <row r="398" spans="1:17" ht="13.5" customHeight="1">
      <c r="A398" s="19" t="s">
        <v>655</v>
      </c>
      <c r="B398" s="20" t="s">
        <v>1303</v>
      </c>
      <c r="C398" s="21">
        <v>9783764388850</v>
      </c>
      <c r="D398" s="22" t="s">
        <v>657</v>
      </c>
      <c r="E398" s="23" t="str">
        <f>HYPERLINK("http://www.springer.com/gp/book/9783764388850","Growth Theory of Subharmonic Functions")</f>
        <v>Growth Theory of Subharmonic Functions</v>
      </c>
      <c r="F398" s="24">
        <v>2009</v>
      </c>
      <c r="G398" s="25" t="s">
        <v>957</v>
      </c>
      <c r="H398" s="70">
        <v>70.83</v>
      </c>
      <c r="I398" s="26">
        <v>25</v>
      </c>
      <c r="J398" s="68">
        <v>53.12</v>
      </c>
      <c r="K398" s="84">
        <v>59.9</v>
      </c>
      <c r="L398" s="85" t="s">
        <v>958</v>
      </c>
      <c r="M398" s="27" t="s">
        <v>977</v>
      </c>
      <c r="N398" s="25"/>
      <c r="O398" s="20" t="s">
        <v>22</v>
      </c>
      <c r="P398" s="25"/>
      <c r="Q398" s="25" t="s">
        <v>658</v>
      </c>
    </row>
    <row r="399" spans="1:17" ht="13.5" customHeight="1">
      <c r="A399" s="19" t="s">
        <v>655</v>
      </c>
      <c r="B399" s="20" t="s">
        <v>1298</v>
      </c>
      <c r="C399" s="21">
        <v>9780387953502</v>
      </c>
      <c r="D399" s="22" t="s">
        <v>744</v>
      </c>
      <c r="E399" s="23" t="str">
        <f>HYPERLINK("http://www.springer.com/gp/book/9780387953502","Predictions in Time Series Using Regression Models")</f>
        <v>Predictions in Time Series Using Regression Models</v>
      </c>
      <c r="F399" s="24">
        <v>2002</v>
      </c>
      <c r="G399" s="25" t="s">
        <v>957</v>
      </c>
      <c r="H399" s="70">
        <v>115.49</v>
      </c>
      <c r="I399" s="26">
        <v>30</v>
      </c>
      <c r="J399" s="68">
        <v>80.84</v>
      </c>
      <c r="K399" s="84">
        <v>99.99</v>
      </c>
      <c r="L399" s="85" t="s">
        <v>958</v>
      </c>
      <c r="M399" s="27" t="s">
        <v>977</v>
      </c>
      <c r="N399" s="25"/>
      <c r="O399" s="20" t="s">
        <v>3</v>
      </c>
      <c r="P399" s="25"/>
      <c r="Q399" s="25"/>
    </row>
    <row r="400" spans="1:17" ht="13.5" customHeight="1">
      <c r="A400" s="19" t="s">
        <v>655</v>
      </c>
      <c r="B400" s="20" t="s">
        <v>1298</v>
      </c>
      <c r="C400" s="21">
        <v>9783540223474</v>
      </c>
      <c r="D400" s="22" t="s">
        <v>726</v>
      </c>
      <c r="E400" s="23" t="str">
        <f>HYPERLINK("http://www.springer.com/gp/book/9783540223474","Aspects of Brownian Motion")</f>
        <v>Aspects of Brownian Motion</v>
      </c>
      <c r="F400" s="24">
        <v>2008</v>
      </c>
      <c r="G400" s="25" t="s">
        <v>957</v>
      </c>
      <c r="H400" s="70">
        <v>47.24</v>
      </c>
      <c r="I400" s="26">
        <v>25</v>
      </c>
      <c r="J400" s="68">
        <v>35.43</v>
      </c>
      <c r="K400" s="84">
        <v>39.95</v>
      </c>
      <c r="L400" s="85" t="s">
        <v>958</v>
      </c>
      <c r="M400" s="27" t="s">
        <v>995</v>
      </c>
      <c r="N400" s="25"/>
      <c r="O400" s="20" t="s">
        <v>22</v>
      </c>
      <c r="P400" s="25"/>
      <c r="Q400" s="25" t="s">
        <v>678</v>
      </c>
    </row>
    <row r="401" spans="1:17" ht="13.5" customHeight="1">
      <c r="A401" s="19" t="s">
        <v>655</v>
      </c>
      <c r="B401" s="20" t="s">
        <v>1298</v>
      </c>
      <c r="C401" s="21">
        <v>9781852339968</v>
      </c>
      <c r="D401" s="22" t="s">
        <v>661</v>
      </c>
      <c r="E401" s="23" t="str">
        <f>HYPERLINK("http://www.springer.com/gp/book/9781852339968","Stochastic Calculus for Fractional Brownian Motion and Applications")</f>
        <v>Stochastic Calculus for Fractional Brownian Motion and Applications</v>
      </c>
      <c r="F401" s="24">
        <v>2008</v>
      </c>
      <c r="G401" s="25" t="s">
        <v>957</v>
      </c>
      <c r="H401" s="70">
        <v>100.5</v>
      </c>
      <c r="I401" s="26">
        <v>25</v>
      </c>
      <c r="J401" s="68">
        <v>75.38</v>
      </c>
      <c r="K401" s="84">
        <v>84.99</v>
      </c>
      <c r="L401" s="85" t="s">
        <v>958</v>
      </c>
      <c r="M401" s="27" t="s">
        <v>977</v>
      </c>
      <c r="N401" s="25"/>
      <c r="O401" s="20" t="s">
        <v>3</v>
      </c>
      <c r="P401" s="25"/>
      <c r="Q401" s="25" t="s">
        <v>662</v>
      </c>
    </row>
    <row r="402" spans="1:17" ht="13.5" customHeight="1">
      <c r="A402" s="19" t="s">
        <v>655</v>
      </c>
      <c r="B402" s="20" t="s">
        <v>1298</v>
      </c>
      <c r="C402" s="21">
        <v>9780387766164</v>
      </c>
      <c r="D402" s="22" t="s">
        <v>738</v>
      </c>
      <c r="E402" s="23" t="str">
        <f>HYPERLINK("http://www.springer.com/gp/book/9780387766164","Stochastic Control in Discrete and Continuous Time")</f>
        <v>Stochastic Control in Discrete and Continuous Time</v>
      </c>
      <c r="F402" s="24">
        <v>2009</v>
      </c>
      <c r="G402" s="25" t="s">
        <v>957</v>
      </c>
      <c r="H402" s="70">
        <v>55.52</v>
      </c>
      <c r="I402" s="26">
        <v>25</v>
      </c>
      <c r="J402" s="68">
        <v>41.64</v>
      </c>
      <c r="K402" s="84">
        <v>46.95</v>
      </c>
      <c r="L402" s="85" t="s">
        <v>958</v>
      </c>
      <c r="M402" s="27" t="s">
        <v>977</v>
      </c>
      <c r="N402" s="25"/>
      <c r="O402" s="20" t="s">
        <v>22</v>
      </c>
      <c r="P402" s="25"/>
      <c r="Q402" s="25"/>
    </row>
    <row r="403" spans="1:17" ht="13.5" customHeight="1">
      <c r="A403" s="19" t="s">
        <v>655</v>
      </c>
      <c r="B403" s="20" t="s">
        <v>1298</v>
      </c>
      <c r="C403" s="21">
        <v>9780387749945</v>
      </c>
      <c r="D403" s="22" t="s">
        <v>718</v>
      </c>
      <c r="E403" s="23" t="str">
        <f>HYPERLINK("http://www.springer.com/gp/book/9780387749945","Basic Probability Theory with Applications")</f>
        <v>Basic Probability Theory with Applications</v>
      </c>
      <c r="F403" s="24">
        <v>2009</v>
      </c>
      <c r="G403" s="25" t="s">
        <v>957</v>
      </c>
      <c r="H403" s="70">
        <v>70.89</v>
      </c>
      <c r="I403" s="26">
        <v>25</v>
      </c>
      <c r="J403" s="68">
        <v>53.17</v>
      </c>
      <c r="K403" s="84">
        <v>59.95</v>
      </c>
      <c r="L403" s="85" t="s">
        <v>958</v>
      </c>
      <c r="M403" s="27" t="s">
        <v>977</v>
      </c>
      <c r="N403" s="25"/>
      <c r="O403" s="20" t="s">
        <v>183</v>
      </c>
      <c r="P403" s="25"/>
      <c r="Q403" s="25" t="s">
        <v>719</v>
      </c>
    </row>
    <row r="404" spans="1:17" ht="13.5" customHeight="1">
      <c r="A404" s="19" t="s">
        <v>655</v>
      </c>
      <c r="B404" s="20" t="s">
        <v>1298</v>
      </c>
      <c r="C404" s="21">
        <v>9781441901613</v>
      </c>
      <c r="D404" s="22" t="s">
        <v>694</v>
      </c>
      <c r="E404" s="23" t="str">
        <f>HYPERLINK("http://www.springer.com/gp/book/9781441901613","An Intermediate Course in Probability")</f>
        <v>An Intermediate Course in Probability</v>
      </c>
      <c r="F404" s="24">
        <v>2009</v>
      </c>
      <c r="G404" s="25" t="s">
        <v>957</v>
      </c>
      <c r="H404" s="70">
        <v>94.54</v>
      </c>
      <c r="I404" s="26">
        <v>25</v>
      </c>
      <c r="J404" s="68">
        <v>70.91</v>
      </c>
      <c r="K404" s="84">
        <v>79.95</v>
      </c>
      <c r="L404" s="85" t="s">
        <v>958</v>
      </c>
      <c r="M404" s="27" t="s">
        <v>977</v>
      </c>
      <c r="N404" s="25" t="s">
        <v>1061</v>
      </c>
      <c r="O404" s="20" t="s">
        <v>22</v>
      </c>
      <c r="P404" s="25"/>
      <c r="Q404" s="25" t="s">
        <v>695</v>
      </c>
    </row>
    <row r="405" spans="1:17" ht="13.5" customHeight="1">
      <c r="A405" s="19" t="s">
        <v>655</v>
      </c>
      <c r="B405" s="20" t="s">
        <v>1302</v>
      </c>
      <c r="C405" s="21">
        <v>9783540708698</v>
      </c>
      <c r="D405" s="22" t="s">
        <v>722</v>
      </c>
      <c r="E405" s="23" t="str">
        <f>HYPERLINK("http://www.springer.com/gp/book/9783540708698","Concentration Risk in Credit Portfolios")</f>
        <v>Concentration Risk in Credit Portfolios</v>
      </c>
      <c r="F405" s="24">
        <v>2009</v>
      </c>
      <c r="G405" s="25" t="s">
        <v>957</v>
      </c>
      <c r="H405" s="70">
        <v>35.46</v>
      </c>
      <c r="I405" s="26">
        <v>25</v>
      </c>
      <c r="J405" s="68">
        <v>26.6</v>
      </c>
      <c r="K405" s="84">
        <v>29.99</v>
      </c>
      <c r="L405" s="85" t="s">
        <v>958</v>
      </c>
      <c r="M405" s="27" t="s">
        <v>995</v>
      </c>
      <c r="N405" s="25"/>
      <c r="O405" s="20" t="s">
        <v>22</v>
      </c>
      <c r="P405" s="25"/>
      <c r="Q405" s="25" t="s">
        <v>723</v>
      </c>
    </row>
    <row r="406" spans="1:17" ht="13.5" customHeight="1">
      <c r="A406" s="19" t="s">
        <v>655</v>
      </c>
      <c r="B406" s="20" t="s">
        <v>1198</v>
      </c>
      <c r="C406" s="21">
        <v>9780387971322</v>
      </c>
      <c r="D406" s="22" t="s">
        <v>681</v>
      </c>
      <c r="E406" s="23" t="str">
        <f>HYPERLINK("http://www.springer.com/gp/book/9780387971322","Introduction to Analysis of the Infinite")</f>
        <v>Introduction to Analysis of the Infinite</v>
      </c>
      <c r="F406" s="24">
        <v>1990</v>
      </c>
      <c r="G406" s="25" t="s">
        <v>957</v>
      </c>
      <c r="H406" s="70">
        <v>179.01</v>
      </c>
      <c r="I406" s="26">
        <v>30</v>
      </c>
      <c r="J406" s="68">
        <v>125.31</v>
      </c>
      <c r="K406" s="84">
        <v>154.99</v>
      </c>
      <c r="L406" s="85" t="s">
        <v>958</v>
      </c>
      <c r="M406" s="27" t="s">
        <v>977</v>
      </c>
      <c r="N406" s="25"/>
      <c r="O406" s="20" t="s">
        <v>3</v>
      </c>
      <c r="P406" s="25" t="s">
        <v>682</v>
      </c>
      <c r="Q406" s="25"/>
    </row>
    <row r="407" spans="1:17" ht="13.5" customHeight="1">
      <c r="A407" s="19" t="s">
        <v>655</v>
      </c>
      <c r="B407" s="20" t="s">
        <v>1199</v>
      </c>
      <c r="C407" s="21">
        <v>9783540709138</v>
      </c>
      <c r="D407" s="22" t="s">
        <v>712</v>
      </c>
      <c r="E407" s="23" t="str">
        <f>HYPERLINK("http://www.springer.com/gp/book/9783540709138","Controlled Diffusion Processes")</f>
        <v>Controlled Diffusion Processes</v>
      </c>
      <c r="F407" s="24">
        <v>1980</v>
      </c>
      <c r="G407" s="25" t="s">
        <v>957</v>
      </c>
      <c r="H407" s="70">
        <v>82.72</v>
      </c>
      <c r="I407" s="26">
        <v>30</v>
      </c>
      <c r="J407" s="68">
        <v>57.9</v>
      </c>
      <c r="K407" s="84">
        <v>69.95</v>
      </c>
      <c r="L407" s="85" t="s">
        <v>958</v>
      </c>
      <c r="M407" s="27" t="s">
        <v>995</v>
      </c>
      <c r="N407" s="25"/>
      <c r="O407" s="20" t="s">
        <v>3</v>
      </c>
      <c r="P407" s="25"/>
      <c r="Q407" s="25" t="s">
        <v>713</v>
      </c>
    </row>
    <row r="408" spans="1:17" ht="13.5" customHeight="1">
      <c r="A408" s="19" t="s">
        <v>655</v>
      </c>
      <c r="B408" s="20" t="s">
        <v>1297</v>
      </c>
      <c r="C408" s="21">
        <v>9783540344971</v>
      </c>
      <c r="D408" s="22" t="s">
        <v>665</v>
      </c>
      <c r="E408" s="23" t="str">
        <f>HYPERLINK("http://www.springer.com/gp/book/9783540344971","Espaces vectoriels topologiques")</f>
        <v>Espaces vectoriels topologiques</v>
      </c>
      <c r="F408" s="24">
        <v>2007</v>
      </c>
      <c r="G408" s="25" t="s">
        <v>957</v>
      </c>
      <c r="H408" s="70">
        <v>56.04</v>
      </c>
      <c r="I408" s="26">
        <v>30</v>
      </c>
      <c r="J408" s="68">
        <v>39.23</v>
      </c>
      <c r="K408" s="84">
        <v>47.39</v>
      </c>
      <c r="L408" s="85" t="s">
        <v>958</v>
      </c>
      <c r="M408" s="27" t="s">
        <v>995</v>
      </c>
      <c r="N408" s="25"/>
      <c r="O408" s="20" t="s">
        <v>3</v>
      </c>
      <c r="P408" s="25" t="s">
        <v>666</v>
      </c>
      <c r="Q408" s="25"/>
    </row>
    <row r="409" spans="1:17" ht="13.5" customHeight="1">
      <c r="A409" s="19" t="s">
        <v>655</v>
      </c>
      <c r="B409" s="20" t="s">
        <v>1297</v>
      </c>
      <c r="C409" s="21">
        <v>9781848009127</v>
      </c>
      <c r="D409" s="22" t="s">
        <v>702</v>
      </c>
      <c r="E409" s="23" t="str">
        <f>HYPERLINK("http://www.springer.com/gp/book/9781848009127","A Topological Aperitif")</f>
        <v>A Topological Aperitif</v>
      </c>
      <c r="F409" s="24">
        <v>2009</v>
      </c>
      <c r="G409" s="25" t="s">
        <v>957</v>
      </c>
      <c r="H409" s="70">
        <v>31.87</v>
      </c>
      <c r="I409" s="26">
        <v>25</v>
      </c>
      <c r="J409" s="68">
        <v>23.9</v>
      </c>
      <c r="K409" s="84">
        <v>26.95</v>
      </c>
      <c r="L409" s="85" t="s">
        <v>958</v>
      </c>
      <c r="M409" s="27" t="s">
        <v>995</v>
      </c>
      <c r="N409" s="25" t="s">
        <v>1061</v>
      </c>
      <c r="O409" s="20" t="s">
        <v>183</v>
      </c>
      <c r="P409" s="25"/>
      <c r="Q409" s="25"/>
    </row>
    <row r="410" spans="1:17" ht="13.5" customHeight="1">
      <c r="A410" s="19" t="s">
        <v>655</v>
      </c>
      <c r="B410" s="20" t="s">
        <v>1307</v>
      </c>
      <c r="C410" s="21">
        <v>9783764389932</v>
      </c>
      <c r="D410" s="22" t="s">
        <v>745</v>
      </c>
      <c r="E410" s="23" t="str">
        <f>HYPERLINK("http://www.springer.com/gp/book/9783764389932","Observation and Control for Operator Semigroups")</f>
        <v>Observation and Control for Operator Semigroups</v>
      </c>
      <c r="F410" s="24">
        <v>2009</v>
      </c>
      <c r="G410" s="25" t="s">
        <v>957</v>
      </c>
      <c r="H410" s="70">
        <v>70.83</v>
      </c>
      <c r="I410" s="26">
        <v>25</v>
      </c>
      <c r="J410" s="68">
        <v>53.12</v>
      </c>
      <c r="K410" s="84">
        <v>59.9</v>
      </c>
      <c r="L410" s="85" t="s">
        <v>958</v>
      </c>
      <c r="M410" s="27" t="s">
        <v>977</v>
      </c>
      <c r="N410" s="25"/>
      <c r="O410" s="20" t="s">
        <v>22</v>
      </c>
      <c r="P410" s="25"/>
      <c r="Q410" s="25" t="s">
        <v>658</v>
      </c>
    </row>
    <row r="411" spans="1:17" ht="13.5" customHeight="1">
      <c r="A411" s="28" t="s">
        <v>655</v>
      </c>
      <c r="B411" s="27" t="s">
        <v>1100</v>
      </c>
      <c r="C411" s="29">
        <v>9788847010703</v>
      </c>
      <c r="D411" s="30" t="s">
        <v>1049</v>
      </c>
      <c r="E411" s="31" t="s">
        <v>1050</v>
      </c>
      <c r="F411" s="32">
        <v>2009</v>
      </c>
      <c r="G411" s="33" t="s">
        <v>957</v>
      </c>
      <c r="H411" s="71">
        <v>50.55</v>
      </c>
      <c r="I411" s="26">
        <v>25</v>
      </c>
      <c r="J411" s="68">
        <v>37.91</v>
      </c>
      <c r="K411" s="86">
        <v>42.75</v>
      </c>
      <c r="L411" s="87" t="s">
        <v>958</v>
      </c>
      <c r="M411" s="27" t="s">
        <v>977</v>
      </c>
      <c r="N411" s="29"/>
      <c r="O411" s="20" t="s">
        <v>3</v>
      </c>
      <c r="P411" s="27"/>
      <c r="Q411" s="27"/>
    </row>
    <row r="412" spans="1:17" ht="13.5" customHeight="1">
      <c r="A412" s="28" t="s">
        <v>655</v>
      </c>
      <c r="B412" s="27" t="s">
        <v>1100</v>
      </c>
      <c r="C412" s="29">
        <v>9783642002335</v>
      </c>
      <c r="D412" s="30" t="s">
        <v>1041</v>
      </c>
      <c r="E412" s="31" t="s">
        <v>1042</v>
      </c>
      <c r="F412" s="32">
        <v>2009</v>
      </c>
      <c r="G412" s="33" t="s">
        <v>957</v>
      </c>
      <c r="H412" s="71">
        <v>210.04</v>
      </c>
      <c r="I412" s="26">
        <v>25</v>
      </c>
      <c r="J412" s="68">
        <v>157.53</v>
      </c>
      <c r="K412" s="86">
        <v>181.85</v>
      </c>
      <c r="L412" s="87" t="s">
        <v>958</v>
      </c>
      <c r="M412" s="27" t="s">
        <v>1063</v>
      </c>
      <c r="N412" s="29"/>
      <c r="O412" s="20" t="s">
        <v>3</v>
      </c>
      <c r="P412" s="27"/>
      <c r="Q412" s="27"/>
    </row>
    <row r="413" spans="1:17" ht="13.5" customHeight="1">
      <c r="A413" s="19" t="s">
        <v>655</v>
      </c>
      <c r="B413" s="20" t="s">
        <v>1299</v>
      </c>
      <c r="C413" s="21">
        <v>9783540506256</v>
      </c>
      <c r="D413" s="22" t="s">
        <v>688</v>
      </c>
      <c r="E413" s="23" t="str">
        <f>HYPERLINK("http://www.springer.com/gp/book/9783540506256","Calculus of Variations I")</f>
        <v>Calculus of Variations I</v>
      </c>
      <c r="F413" s="24">
        <v>2004</v>
      </c>
      <c r="G413" s="25" t="s">
        <v>957</v>
      </c>
      <c r="H413" s="70">
        <v>161.64</v>
      </c>
      <c r="I413" s="26">
        <v>30</v>
      </c>
      <c r="J413" s="68">
        <v>113.15</v>
      </c>
      <c r="K413" s="84">
        <v>139.95</v>
      </c>
      <c r="L413" s="85" t="s">
        <v>958</v>
      </c>
      <c r="M413" s="27" t="s">
        <v>977</v>
      </c>
      <c r="N413" s="25"/>
      <c r="O413" s="20" t="s">
        <v>3</v>
      </c>
      <c r="P413" s="25"/>
      <c r="Q413" s="25" t="s">
        <v>689</v>
      </c>
    </row>
    <row r="414" spans="1:17" ht="13.5" customHeight="1">
      <c r="A414" s="19" t="s">
        <v>655</v>
      </c>
      <c r="B414" s="20" t="s">
        <v>1299</v>
      </c>
      <c r="C414" s="21">
        <v>9780387309316</v>
      </c>
      <c r="D414" s="22" t="s">
        <v>736</v>
      </c>
      <c r="E414" s="23" t="str">
        <f>HYPERLINK("http://www.springer.com/gp/book/9780387309316","Variational Methods in Imaging")</f>
        <v>Variational Methods in Imaging</v>
      </c>
      <c r="F414" s="24">
        <v>2009</v>
      </c>
      <c r="G414" s="25" t="s">
        <v>957</v>
      </c>
      <c r="H414" s="70">
        <v>64.98</v>
      </c>
      <c r="I414" s="26">
        <v>25</v>
      </c>
      <c r="J414" s="68">
        <v>48.74</v>
      </c>
      <c r="K414" s="84">
        <v>54.95</v>
      </c>
      <c r="L414" s="85" t="s">
        <v>958</v>
      </c>
      <c r="M414" s="27" t="s">
        <v>977</v>
      </c>
      <c r="N414" s="25"/>
      <c r="O414" s="20" t="s">
        <v>22</v>
      </c>
      <c r="P414" s="25"/>
      <c r="Q414" s="25" t="s">
        <v>737</v>
      </c>
    </row>
    <row r="415" spans="1:17" ht="13.5" customHeight="1">
      <c r="A415" s="19" t="s">
        <v>655</v>
      </c>
      <c r="B415" s="20" t="s">
        <v>1309</v>
      </c>
      <c r="C415" s="21">
        <v>9780387245270</v>
      </c>
      <c r="D415" s="22" t="s">
        <v>734</v>
      </c>
      <c r="E415" s="23" t="str">
        <f>HYPERLINK("http://www.springer.com/gp/book/9780387245270","An Introduction to Homological Algebra")</f>
        <v>An Introduction to Homological Algebra</v>
      </c>
      <c r="F415" s="24">
        <v>2009</v>
      </c>
      <c r="G415" s="25" t="s">
        <v>957</v>
      </c>
      <c r="H415" s="70">
        <v>41.33</v>
      </c>
      <c r="I415" s="26">
        <v>25</v>
      </c>
      <c r="J415" s="68">
        <v>31</v>
      </c>
      <c r="K415" s="84">
        <v>34.95</v>
      </c>
      <c r="L415" s="85" t="s">
        <v>958</v>
      </c>
      <c r="M415" s="27" t="s">
        <v>995</v>
      </c>
      <c r="N415" s="25" t="s">
        <v>1061</v>
      </c>
      <c r="O415" s="20" t="s">
        <v>22</v>
      </c>
      <c r="P415" s="25"/>
      <c r="Q415" s="25" t="s">
        <v>678</v>
      </c>
    </row>
    <row r="416" spans="1:17" ht="13.5" customHeight="1">
      <c r="A416" s="28" t="s">
        <v>655</v>
      </c>
      <c r="B416" s="27" t="s">
        <v>1068</v>
      </c>
      <c r="C416" s="29">
        <v>9780387848983</v>
      </c>
      <c r="D416" s="30" t="s">
        <v>961</v>
      </c>
      <c r="E416" s="31" t="s">
        <v>962</v>
      </c>
      <c r="F416" s="32">
        <v>2009</v>
      </c>
      <c r="G416" s="33" t="s">
        <v>957</v>
      </c>
      <c r="H416" s="71">
        <v>44.23</v>
      </c>
      <c r="I416" s="26">
        <v>25</v>
      </c>
      <c r="J416" s="68">
        <v>33.17</v>
      </c>
      <c r="K416" s="86">
        <v>37.4</v>
      </c>
      <c r="L416" s="87" t="s">
        <v>958</v>
      </c>
      <c r="M416" s="27" t="s">
        <v>995</v>
      </c>
      <c r="N416" s="29"/>
      <c r="O416" s="20" t="s">
        <v>22</v>
      </c>
      <c r="P416" s="27"/>
      <c r="Q416" s="27"/>
    </row>
    <row r="417" spans="1:17" ht="13.5" customHeight="1">
      <c r="A417" s="19" t="s">
        <v>655</v>
      </c>
      <c r="B417" s="20" t="s">
        <v>1296</v>
      </c>
      <c r="C417" s="21">
        <v>9780387797106</v>
      </c>
      <c r="D417" s="22" t="s">
        <v>696</v>
      </c>
      <c r="E417" s="23" t="str">
        <f>HYPERLINK("http://www.springer.com/gp/book/9780387797106","Combinatorics and Graph Theory")</f>
        <v>Combinatorics and Graph Theory</v>
      </c>
      <c r="F417" s="24">
        <v>2008</v>
      </c>
      <c r="G417" s="25" t="s">
        <v>957</v>
      </c>
      <c r="H417" s="70">
        <v>48.42</v>
      </c>
      <c r="I417" s="26">
        <v>25</v>
      </c>
      <c r="J417" s="68">
        <v>36.32</v>
      </c>
      <c r="K417" s="84">
        <v>40.95</v>
      </c>
      <c r="L417" s="85" t="s">
        <v>958</v>
      </c>
      <c r="M417" s="27" t="s">
        <v>977</v>
      </c>
      <c r="N417" s="25" t="s">
        <v>1061</v>
      </c>
      <c r="O417" s="20" t="s">
        <v>183</v>
      </c>
      <c r="P417" s="25"/>
      <c r="Q417" s="25" t="s">
        <v>697</v>
      </c>
    </row>
    <row r="418" spans="1:17" ht="13.5" customHeight="1">
      <c r="A418" s="19" t="s">
        <v>655</v>
      </c>
      <c r="B418" s="20" t="s">
        <v>1296</v>
      </c>
      <c r="C418" s="21">
        <v>9781461401094</v>
      </c>
      <c r="D418" s="22" t="s">
        <v>730</v>
      </c>
      <c r="E418" s="23" t="str">
        <f>HYPERLINK("http://www.springer.com/gp/book/9781461401094","Thirty Essays on Geometric Graph Theory")</f>
        <v>Thirty Essays on Geometric Graph Theory</v>
      </c>
      <c r="F418" s="24">
        <v>2013</v>
      </c>
      <c r="G418" s="25" t="s">
        <v>957</v>
      </c>
      <c r="H418" s="70">
        <v>150.14</v>
      </c>
      <c r="I418" s="26">
        <v>20</v>
      </c>
      <c r="J418" s="68">
        <v>120.11</v>
      </c>
      <c r="K418" s="84">
        <v>129.99</v>
      </c>
      <c r="L418" s="85" t="s">
        <v>958</v>
      </c>
      <c r="M418" s="27" t="s">
        <v>977</v>
      </c>
      <c r="N418" s="25"/>
      <c r="O418" s="20" t="s">
        <v>10</v>
      </c>
      <c r="P418" s="25"/>
      <c r="Q418" s="25"/>
    </row>
    <row r="419" spans="1:17" ht="13.5" customHeight="1">
      <c r="A419" s="19" t="s">
        <v>655</v>
      </c>
      <c r="B419" s="20" t="s">
        <v>1308</v>
      </c>
      <c r="C419" s="21">
        <v>9780817639754</v>
      </c>
      <c r="D419" s="22" t="s">
        <v>707</v>
      </c>
      <c r="E419" s="23" t="str">
        <f>HYPERLINK("http://www.springer.com/gp/book/9780817639754","Topological Field Theory, Primitive Forms and Related Topics")</f>
        <v>Topological Field Theory, Primitive Forms and Related Topics</v>
      </c>
      <c r="F419" s="24">
        <v>1998</v>
      </c>
      <c r="G419" s="25" t="s">
        <v>957</v>
      </c>
      <c r="H419" s="70">
        <v>196.34</v>
      </c>
      <c r="I419" s="26">
        <v>30</v>
      </c>
      <c r="J419" s="68">
        <v>137.44</v>
      </c>
      <c r="K419" s="84">
        <v>169.99</v>
      </c>
      <c r="L419" s="85" t="s">
        <v>958</v>
      </c>
      <c r="M419" s="27" t="s">
        <v>977</v>
      </c>
      <c r="N419" s="25"/>
      <c r="O419" s="20" t="s">
        <v>3</v>
      </c>
      <c r="P419" s="25"/>
      <c r="Q419" s="25" t="s">
        <v>708</v>
      </c>
    </row>
    <row r="420" spans="1:17" ht="13.5" customHeight="1">
      <c r="A420" s="19" t="s">
        <v>655</v>
      </c>
      <c r="B420" s="20" t="s">
        <v>1121</v>
      </c>
      <c r="C420" s="21">
        <v>9780817645281</v>
      </c>
      <c r="D420" s="22" t="s">
        <v>654</v>
      </c>
      <c r="E420" s="23" t="str">
        <f>HYPERLINK("http://www.springer.com/gp/book/9780817645281","Mathematical Olympiad Challenges")</f>
        <v>Mathematical Olympiad Challenges</v>
      </c>
      <c r="F420" s="24">
        <v>2009</v>
      </c>
      <c r="G420" s="25" t="s">
        <v>957</v>
      </c>
      <c r="H420" s="70">
        <v>41.27</v>
      </c>
      <c r="I420" s="26">
        <v>25</v>
      </c>
      <c r="J420" s="68">
        <v>30.95</v>
      </c>
      <c r="K420" s="84">
        <v>34.9</v>
      </c>
      <c r="L420" s="85" t="s">
        <v>958</v>
      </c>
      <c r="M420" s="27" t="s">
        <v>995</v>
      </c>
      <c r="N420" s="25" t="s">
        <v>1061</v>
      </c>
      <c r="O420" s="20" t="s">
        <v>183</v>
      </c>
      <c r="P420" s="25"/>
      <c r="Q420" s="25"/>
    </row>
    <row r="421" spans="1:17" ht="13.5" customHeight="1">
      <c r="A421" s="28" t="s">
        <v>655</v>
      </c>
      <c r="B421" s="27" t="s">
        <v>1082</v>
      </c>
      <c r="C421" s="29">
        <v>9781852333195</v>
      </c>
      <c r="D421" s="30" t="s">
        <v>1015</v>
      </c>
      <c r="E421" s="31" t="s">
        <v>1016</v>
      </c>
      <c r="F421" s="32">
        <v>2012</v>
      </c>
      <c r="G421" s="33" t="s">
        <v>957</v>
      </c>
      <c r="H421" s="71">
        <v>56.88</v>
      </c>
      <c r="I421" s="26">
        <v>20</v>
      </c>
      <c r="J421" s="68">
        <v>45.5</v>
      </c>
      <c r="K421" s="86">
        <v>48.1</v>
      </c>
      <c r="L421" s="87" t="s">
        <v>958</v>
      </c>
      <c r="M421" s="27" t="s">
        <v>995</v>
      </c>
      <c r="N421" s="29" t="s">
        <v>1054</v>
      </c>
      <c r="O421" s="20" t="s">
        <v>3</v>
      </c>
      <c r="P421" s="27"/>
      <c r="Q421" s="27"/>
    </row>
    <row r="422" spans="1:17" ht="13.5" customHeight="1">
      <c r="A422" s="28" t="s">
        <v>655</v>
      </c>
      <c r="B422" s="27" t="s">
        <v>1062</v>
      </c>
      <c r="C422" s="29">
        <v>9780387094335</v>
      </c>
      <c r="D422" s="30" t="s">
        <v>996</v>
      </c>
      <c r="E422" s="31" t="s">
        <v>997</v>
      </c>
      <c r="F422" s="32">
        <v>2008</v>
      </c>
      <c r="G422" s="33" t="s">
        <v>957</v>
      </c>
      <c r="H422" s="71">
        <v>59.41</v>
      </c>
      <c r="I422" s="26">
        <v>25</v>
      </c>
      <c r="J422" s="68">
        <v>44.56</v>
      </c>
      <c r="K422" s="86">
        <v>50.24</v>
      </c>
      <c r="L422" s="87" t="s">
        <v>958</v>
      </c>
      <c r="M422" s="27" t="s">
        <v>977</v>
      </c>
      <c r="N422" s="29" t="s">
        <v>1061</v>
      </c>
      <c r="O422" s="20" t="s">
        <v>3</v>
      </c>
      <c r="P422" s="27"/>
      <c r="Q422" s="27" t="s">
        <v>1060</v>
      </c>
    </row>
    <row r="423" spans="1:17" ht="13.5" customHeight="1">
      <c r="A423" s="28" t="s">
        <v>655</v>
      </c>
      <c r="B423" s="27" t="s">
        <v>1062</v>
      </c>
      <c r="C423" s="29">
        <v>9781848823181</v>
      </c>
      <c r="D423" s="30" t="s">
        <v>1010</v>
      </c>
      <c r="E423" s="31" t="s">
        <v>1011</v>
      </c>
      <c r="F423" s="32">
        <v>2009</v>
      </c>
      <c r="G423" s="33" t="s">
        <v>957</v>
      </c>
      <c r="H423" s="71">
        <v>70.89</v>
      </c>
      <c r="I423" s="26">
        <v>25</v>
      </c>
      <c r="J423" s="68">
        <v>53.17</v>
      </c>
      <c r="K423" s="86">
        <v>59.95</v>
      </c>
      <c r="L423" s="87" t="s">
        <v>958</v>
      </c>
      <c r="M423" s="27" t="s">
        <v>995</v>
      </c>
      <c r="N423" s="29"/>
      <c r="O423" s="20" t="s">
        <v>22</v>
      </c>
      <c r="P423" s="27"/>
      <c r="Q423" s="27"/>
    </row>
    <row r="424" spans="1:17" ht="13.5" customHeight="1">
      <c r="A424" s="19" t="s">
        <v>655</v>
      </c>
      <c r="B424" s="20" t="s">
        <v>1295</v>
      </c>
      <c r="C424" s="21">
        <v>9780387793870</v>
      </c>
      <c r="D424" s="22" t="s">
        <v>709</v>
      </c>
      <c r="E424" s="23" t="str">
        <f>HYPERLINK("http://www.springer.com/gp/book/9780387793870","Mathematical Physiology")</f>
        <v>Mathematical Physiology</v>
      </c>
      <c r="F424" s="24">
        <v>2009</v>
      </c>
      <c r="G424" s="25" t="s">
        <v>957</v>
      </c>
      <c r="H424" s="70">
        <v>64.98</v>
      </c>
      <c r="I424" s="26">
        <v>25</v>
      </c>
      <c r="J424" s="68">
        <v>48.74</v>
      </c>
      <c r="K424" s="84">
        <v>54.95</v>
      </c>
      <c r="L424" s="85" t="s">
        <v>958</v>
      </c>
      <c r="M424" s="27" t="s">
        <v>977</v>
      </c>
      <c r="N424" s="25" t="s">
        <v>1061</v>
      </c>
      <c r="O424" s="20" t="s">
        <v>22</v>
      </c>
      <c r="P424" s="25" t="s">
        <v>710</v>
      </c>
      <c r="Q424" s="25" t="s">
        <v>711</v>
      </c>
    </row>
    <row r="425" spans="1:17" ht="13.5" customHeight="1">
      <c r="A425" s="19" t="s">
        <v>655</v>
      </c>
      <c r="B425" s="20" t="s">
        <v>1294</v>
      </c>
      <c r="C425" s="21">
        <v>9780817683696</v>
      </c>
      <c r="D425" s="22" t="s">
        <v>674</v>
      </c>
      <c r="E425" s="23" t="str">
        <f>HYPERLINK("http://www.springer.com/gp/book/9780817683696","Geography of Order and Chaos in Mechanics")</f>
        <v>Geography of Order and Chaos in Mechanics</v>
      </c>
      <c r="F425" s="24">
        <v>2013</v>
      </c>
      <c r="G425" s="25" t="s">
        <v>957</v>
      </c>
      <c r="H425" s="70">
        <v>127.04</v>
      </c>
      <c r="I425" s="26">
        <v>20</v>
      </c>
      <c r="J425" s="68">
        <v>101.63</v>
      </c>
      <c r="K425" s="84">
        <v>109.99</v>
      </c>
      <c r="L425" s="85" t="s">
        <v>958</v>
      </c>
      <c r="M425" s="27" t="s">
        <v>977</v>
      </c>
      <c r="N425" s="25"/>
      <c r="O425" s="20" t="s">
        <v>3</v>
      </c>
      <c r="P425" s="25" t="s">
        <v>675</v>
      </c>
      <c r="Q425" s="25" t="s">
        <v>676</v>
      </c>
    </row>
    <row r="426" spans="1:17" ht="13.5" customHeight="1">
      <c r="A426" s="19" t="s">
        <v>655</v>
      </c>
      <c r="B426" s="20" t="s">
        <v>1311</v>
      </c>
      <c r="C426" s="21">
        <v>9780387901718</v>
      </c>
      <c r="D426" s="22" t="s">
        <v>747</v>
      </c>
      <c r="E426" s="23" t="str">
        <f>HYPERLINK("http://www.springer.com/gp/book/9780387901718","Commutative Algebra II")</f>
        <v>Commutative Algebra II</v>
      </c>
      <c r="F426" s="24">
        <v>1960</v>
      </c>
      <c r="G426" s="25" t="s">
        <v>957</v>
      </c>
      <c r="H426" s="70">
        <v>79.17</v>
      </c>
      <c r="I426" s="26">
        <v>30</v>
      </c>
      <c r="J426" s="68">
        <v>55.42</v>
      </c>
      <c r="K426" s="84">
        <v>66.95</v>
      </c>
      <c r="L426" s="85" t="s">
        <v>958</v>
      </c>
      <c r="M426" s="27" t="s">
        <v>977</v>
      </c>
      <c r="N426" s="25"/>
      <c r="O426" s="20" t="s">
        <v>22</v>
      </c>
      <c r="P426" s="25"/>
      <c r="Q426" s="25" t="s">
        <v>748</v>
      </c>
    </row>
    <row r="427" spans="1:17" ht="13.5" customHeight="1">
      <c r="A427" s="19" t="s">
        <v>655</v>
      </c>
      <c r="B427" s="20" t="s">
        <v>1311</v>
      </c>
      <c r="C427" s="21">
        <v>9780387982199</v>
      </c>
      <c r="D427" s="22" t="s">
        <v>679</v>
      </c>
      <c r="E427" s="23" t="str">
        <f>HYPERLINK("http://www.springer.com/gp/book/9780387982199","Problem-Solving Strategies")</f>
        <v>Problem-Solving Strategies</v>
      </c>
      <c r="F427" s="24">
        <v>1998</v>
      </c>
      <c r="G427" s="25" t="s">
        <v>957</v>
      </c>
      <c r="H427" s="70">
        <v>115.49</v>
      </c>
      <c r="I427" s="26">
        <v>30</v>
      </c>
      <c r="J427" s="68">
        <v>80.84</v>
      </c>
      <c r="K427" s="84">
        <v>99.99</v>
      </c>
      <c r="L427" s="85" t="s">
        <v>958</v>
      </c>
      <c r="M427" s="27" t="s">
        <v>995</v>
      </c>
      <c r="N427" s="25"/>
      <c r="O427" s="20" t="s">
        <v>8</v>
      </c>
      <c r="P427" s="25"/>
      <c r="Q427" s="25" t="s">
        <v>680</v>
      </c>
    </row>
    <row r="428" spans="1:17" ht="13.5" customHeight="1">
      <c r="A428" s="19" t="s">
        <v>655</v>
      </c>
      <c r="B428" s="20" t="s">
        <v>1300</v>
      </c>
      <c r="C428" s="21">
        <v>9780387855240</v>
      </c>
      <c r="D428" s="22" t="s">
        <v>740</v>
      </c>
      <c r="E428" s="23" t="str">
        <f>HYPERLINK("http://www.springer.com/gp/book/9780387855240","Elementary Number Theory: Primes, Congruences, and Secrets")</f>
        <v>Elementary Number Theory: Primes, Congruences, and Secrets</v>
      </c>
      <c r="F428" s="24">
        <v>2009</v>
      </c>
      <c r="G428" s="25" t="s">
        <v>957</v>
      </c>
      <c r="H428" s="70">
        <v>41.33</v>
      </c>
      <c r="I428" s="26">
        <v>25</v>
      </c>
      <c r="J428" s="68">
        <v>31</v>
      </c>
      <c r="K428" s="84">
        <v>34.95</v>
      </c>
      <c r="L428" s="85" t="s">
        <v>958</v>
      </c>
      <c r="M428" s="27" t="s">
        <v>977</v>
      </c>
      <c r="N428" s="25"/>
      <c r="O428" s="20" t="s">
        <v>183</v>
      </c>
      <c r="P428" s="25" t="s">
        <v>741</v>
      </c>
      <c r="Q428" s="25" t="s">
        <v>697</v>
      </c>
    </row>
    <row r="429" spans="1:17" s="6" customFormat="1" ht="13.5" customHeight="1">
      <c r="A429" s="19" t="s">
        <v>655</v>
      </c>
      <c r="B429" s="20" t="s">
        <v>1300</v>
      </c>
      <c r="C429" s="21">
        <v>9780817632458</v>
      </c>
      <c r="D429" s="22" t="s">
        <v>654</v>
      </c>
      <c r="E429" s="23" t="str">
        <f>HYPERLINK("http://www.springer.com/gp/book/9780817632458","Number Theory")</f>
        <v>Number Theory</v>
      </c>
      <c r="F429" s="24">
        <v>2009</v>
      </c>
      <c r="G429" s="25" t="s">
        <v>957</v>
      </c>
      <c r="H429" s="70">
        <v>59.01</v>
      </c>
      <c r="I429" s="26">
        <v>25</v>
      </c>
      <c r="J429" s="68">
        <v>44.26</v>
      </c>
      <c r="K429" s="84">
        <v>49.9</v>
      </c>
      <c r="L429" s="85" t="s">
        <v>958</v>
      </c>
      <c r="M429" s="27" t="s">
        <v>977</v>
      </c>
      <c r="N429" s="25"/>
      <c r="O429" s="20" t="s">
        <v>183</v>
      </c>
      <c r="P429" s="25" t="s">
        <v>656</v>
      </c>
      <c r="Q429" s="25"/>
    </row>
    <row r="430" spans="1:17" ht="13.5" customHeight="1">
      <c r="A430" s="19" t="s">
        <v>655</v>
      </c>
      <c r="B430" s="20" t="s">
        <v>1122</v>
      </c>
      <c r="C430" s="21">
        <v>9780387747583</v>
      </c>
      <c r="D430" s="22" t="s">
        <v>683</v>
      </c>
      <c r="E430" s="23" t="str">
        <f>HYPERLINK("http://www.springer.com/gp/book/9780387747583","Encyclopedia of Optimization")</f>
        <v>Encyclopedia of Optimization</v>
      </c>
      <c r="F430" s="24">
        <v>2009</v>
      </c>
      <c r="G430" s="25" t="s">
        <v>957</v>
      </c>
      <c r="H430" s="70">
        <v>1906</v>
      </c>
      <c r="I430" s="26">
        <v>30</v>
      </c>
      <c r="J430" s="68">
        <v>1334.2</v>
      </c>
      <c r="K430" s="84">
        <v>1699</v>
      </c>
      <c r="L430" s="85" t="s">
        <v>958</v>
      </c>
      <c r="M430" s="27" t="s">
        <v>977</v>
      </c>
      <c r="N430" s="25" t="s">
        <v>1061</v>
      </c>
      <c r="O430" s="20" t="s">
        <v>52</v>
      </c>
      <c r="P430" s="25" t="s">
        <v>1358</v>
      </c>
      <c r="Q430" s="25"/>
    </row>
    <row r="431" spans="1:17" s="6" customFormat="1" ht="13.5" customHeight="1">
      <c r="A431" s="19" t="s">
        <v>655</v>
      </c>
      <c r="B431" s="20" t="s">
        <v>1306</v>
      </c>
      <c r="C431" s="21">
        <v>9780817639969</v>
      </c>
      <c r="D431" s="22" t="s">
        <v>716</v>
      </c>
      <c r="E431" s="23" t="str">
        <f>HYPERLINK("http://www.springer.com/gp/book/9780817639969","Computational Conformal Mapping")</f>
        <v>Computational Conformal Mapping</v>
      </c>
      <c r="F431" s="24">
        <v>1998</v>
      </c>
      <c r="G431" s="25" t="s">
        <v>957</v>
      </c>
      <c r="H431" s="70">
        <v>127.04</v>
      </c>
      <c r="I431" s="26">
        <v>30</v>
      </c>
      <c r="J431" s="68">
        <v>88.93</v>
      </c>
      <c r="K431" s="84">
        <v>109.99</v>
      </c>
      <c r="L431" s="85" t="s">
        <v>958</v>
      </c>
      <c r="M431" s="27" t="s">
        <v>977</v>
      </c>
      <c r="N431" s="25"/>
      <c r="O431" s="20" t="s">
        <v>717</v>
      </c>
      <c r="P431" s="25"/>
      <c r="Q431" s="25"/>
    </row>
    <row r="432" spans="1:17" ht="13.5" customHeight="1">
      <c r="A432" s="28" t="s">
        <v>655</v>
      </c>
      <c r="B432" s="27" t="s">
        <v>951</v>
      </c>
      <c r="C432" s="29">
        <v>9780387952321</v>
      </c>
      <c r="D432" s="30" t="s">
        <v>963</v>
      </c>
      <c r="E432" s="31" t="s">
        <v>964</v>
      </c>
      <c r="F432" s="32">
        <v>2001</v>
      </c>
      <c r="G432" s="33" t="s">
        <v>957</v>
      </c>
      <c r="H432" s="71">
        <v>56.93</v>
      </c>
      <c r="I432" s="26">
        <v>30</v>
      </c>
      <c r="J432" s="68">
        <v>39.85</v>
      </c>
      <c r="K432" s="86">
        <v>48.14</v>
      </c>
      <c r="L432" s="87" t="s">
        <v>958</v>
      </c>
      <c r="M432" s="27" t="s">
        <v>977</v>
      </c>
      <c r="N432" s="29" t="s">
        <v>1061</v>
      </c>
      <c r="O432" s="20" t="s">
        <v>3</v>
      </c>
      <c r="P432" s="27"/>
      <c r="Q432" s="27" t="s">
        <v>1069</v>
      </c>
    </row>
    <row r="433" spans="1:17" ht="13.5" customHeight="1">
      <c r="A433" s="28" t="s">
        <v>655</v>
      </c>
      <c r="B433" s="27" t="s">
        <v>951</v>
      </c>
      <c r="C433" s="29">
        <v>9781848000476</v>
      </c>
      <c r="D433" s="30" t="s">
        <v>970</v>
      </c>
      <c r="E433" s="31" t="s">
        <v>971</v>
      </c>
      <c r="F433" s="32">
        <v>2006</v>
      </c>
      <c r="G433" s="33" t="s">
        <v>957</v>
      </c>
      <c r="H433" s="71">
        <v>75.86</v>
      </c>
      <c r="I433" s="26">
        <v>30</v>
      </c>
      <c r="J433" s="68">
        <v>53.1</v>
      </c>
      <c r="K433" s="86">
        <v>64.15</v>
      </c>
      <c r="L433" s="87" t="s">
        <v>958</v>
      </c>
      <c r="M433" s="27" t="s">
        <v>995</v>
      </c>
      <c r="N433" s="29"/>
      <c r="O433" s="20" t="s">
        <v>22</v>
      </c>
      <c r="P433" s="27"/>
      <c r="Q433" s="27"/>
    </row>
    <row r="434" spans="1:17" ht="13.5" customHeight="1">
      <c r="A434" s="19" t="s">
        <v>655</v>
      </c>
      <c r="B434" s="20" t="s">
        <v>1120</v>
      </c>
      <c r="C434" s="21">
        <v>9783540708223</v>
      </c>
      <c r="D434" s="22" t="s">
        <v>698</v>
      </c>
      <c r="E434" s="23" t="str">
        <f>HYPERLINK("http://www.springer.com/gp/book/9783540708223","Topology-based Methods in Visualization")</f>
        <v>Topology-based Methods in Visualization</v>
      </c>
      <c r="F434" s="24">
        <v>2007</v>
      </c>
      <c r="G434" s="25" t="s">
        <v>957</v>
      </c>
      <c r="H434" s="70">
        <v>150.14</v>
      </c>
      <c r="I434" s="26">
        <v>30</v>
      </c>
      <c r="J434" s="68">
        <v>105.1</v>
      </c>
      <c r="K434" s="84">
        <v>129.99</v>
      </c>
      <c r="L434" s="85" t="s">
        <v>958</v>
      </c>
      <c r="M434" s="27" t="s">
        <v>977</v>
      </c>
      <c r="N434" s="25"/>
      <c r="O434" s="20" t="s">
        <v>213</v>
      </c>
      <c r="P434" s="25"/>
      <c r="Q434" s="25" t="s">
        <v>699</v>
      </c>
    </row>
    <row r="435" spans="1:17" ht="13.5" customHeight="1">
      <c r="A435" s="19" t="s">
        <v>752</v>
      </c>
      <c r="B435" s="20" t="s">
        <v>1171</v>
      </c>
      <c r="C435" s="21">
        <v>9783540225690</v>
      </c>
      <c r="D435" s="22" t="s">
        <v>798</v>
      </c>
      <c r="E435" s="23" t="str">
        <f>HYPERLINK("http://www.springer.com/gp/book/9783540225690","Atherosclerosis: Diet and Drugs")</f>
        <v>Atherosclerosis: Diet and Drugs</v>
      </c>
      <c r="F435" s="24">
        <v>2005</v>
      </c>
      <c r="G435" s="25" t="s">
        <v>957</v>
      </c>
      <c r="H435" s="70">
        <v>639.5</v>
      </c>
      <c r="I435" s="26">
        <v>30</v>
      </c>
      <c r="J435" s="68">
        <v>447.65</v>
      </c>
      <c r="K435" s="84">
        <v>559</v>
      </c>
      <c r="L435" s="85" t="s">
        <v>958</v>
      </c>
      <c r="M435" s="27" t="s">
        <v>977</v>
      </c>
      <c r="N435" s="25"/>
      <c r="O435" s="20" t="s">
        <v>8</v>
      </c>
      <c r="P435" s="25"/>
      <c r="Q435" s="25" t="s">
        <v>799</v>
      </c>
    </row>
    <row r="436" spans="1:17" ht="13.5" customHeight="1">
      <c r="A436" s="19" t="s">
        <v>752</v>
      </c>
      <c r="B436" s="20" t="s">
        <v>1171</v>
      </c>
      <c r="C436" s="21">
        <v>9781603272032</v>
      </c>
      <c r="D436" s="22" t="s">
        <v>787</v>
      </c>
      <c r="E436" s="23" t="str">
        <f>HYPERLINK("http://www.springer.com/gp/book/9781603272032","Aortic Aneurysms")</f>
        <v>Aortic Aneurysms</v>
      </c>
      <c r="F436" s="24">
        <v>2009</v>
      </c>
      <c r="G436" s="25" t="s">
        <v>957</v>
      </c>
      <c r="H436" s="70">
        <v>264.5</v>
      </c>
      <c r="I436" s="26">
        <v>25</v>
      </c>
      <c r="J436" s="68">
        <v>198.38</v>
      </c>
      <c r="K436" s="84">
        <v>229</v>
      </c>
      <c r="L436" s="85" t="s">
        <v>958</v>
      </c>
      <c r="M436" s="27" t="s">
        <v>977</v>
      </c>
      <c r="N436" s="25"/>
      <c r="O436" s="20" t="s">
        <v>10</v>
      </c>
      <c r="P436" s="25" t="s">
        <v>788</v>
      </c>
      <c r="Q436" s="25" t="s">
        <v>789</v>
      </c>
    </row>
    <row r="437" spans="1:17" ht="13.5" customHeight="1">
      <c r="A437" s="19" t="s">
        <v>752</v>
      </c>
      <c r="B437" s="20" t="s">
        <v>1173</v>
      </c>
      <c r="C437" s="21">
        <v>9783540212805</v>
      </c>
      <c r="D437" s="22" t="s">
        <v>767</v>
      </c>
      <c r="E437" s="23" t="str">
        <f>HYPERLINK("http://www.springer.com/gp/book/9783540212805","Psoriasis and Psoriatic Arthritis")</f>
        <v>Psoriasis and Psoriatic Arthritis</v>
      </c>
      <c r="F437" s="24">
        <v>2005</v>
      </c>
      <c r="G437" s="25" t="s">
        <v>957</v>
      </c>
      <c r="H437" s="70">
        <v>138.54</v>
      </c>
      <c r="I437" s="26">
        <v>30</v>
      </c>
      <c r="J437" s="68">
        <v>96.98</v>
      </c>
      <c r="K437" s="84">
        <v>119.95</v>
      </c>
      <c r="L437" s="85" t="s">
        <v>958</v>
      </c>
      <c r="M437" s="27" t="s">
        <v>977</v>
      </c>
      <c r="N437" s="25"/>
      <c r="O437" s="20" t="s">
        <v>3</v>
      </c>
      <c r="P437" s="25" t="s">
        <v>768</v>
      </c>
      <c r="Q437" s="25"/>
    </row>
    <row r="438" spans="1:17" ht="13.5" customHeight="1">
      <c r="A438" s="19" t="s">
        <v>752</v>
      </c>
      <c r="B438" s="20" t="s">
        <v>1173</v>
      </c>
      <c r="C438" s="21">
        <v>9783642284144</v>
      </c>
      <c r="D438" s="22" t="s">
        <v>785</v>
      </c>
      <c r="E438" s="23" t="str">
        <f>HYPERLINK("http://www.springer.com/gp/book/9783642284144","Management of Complications of Cosmetic Procedures")</f>
        <v>Management of Complications of Cosmetic Procedures</v>
      </c>
      <c r="F438" s="24">
        <v>2012</v>
      </c>
      <c r="G438" s="25" t="s">
        <v>957</v>
      </c>
      <c r="H438" s="70">
        <v>106.41</v>
      </c>
      <c r="I438" s="26">
        <v>20</v>
      </c>
      <c r="J438" s="68">
        <v>85.13</v>
      </c>
      <c r="K438" s="84">
        <v>89.99</v>
      </c>
      <c r="L438" s="85" t="s">
        <v>958</v>
      </c>
      <c r="M438" s="27" t="s">
        <v>977</v>
      </c>
      <c r="N438" s="25"/>
      <c r="O438" s="20" t="s">
        <v>10</v>
      </c>
      <c r="P438" s="25" t="s">
        <v>786</v>
      </c>
      <c r="Q438" s="25"/>
    </row>
    <row r="439" spans="1:17" ht="13.5" customHeight="1">
      <c r="A439" s="19" t="s">
        <v>752</v>
      </c>
      <c r="B439" s="20" t="s">
        <v>1344</v>
      </c>
      <c r="C439" s="21">
        <v>9788847024021</v>
      </c>
      <c r="D439" s="22" t="s">
        <v>772</v>
      </c>
      <c r="E439" s="23" t="str">
        <f>HYPERLINK("http://www.springer.com/gp/book/9788847024021","MDCT Protocols")</f>
        <v>MDCT Protocols</v>
      </c>
      <c r="F439" s="24">
        <v>2012</v>
      </c>
      <c r="G439" s="25" t="s">
        <v>957</v>
      </c>
      <c r="H439" s="70">
        <v>59.07</v>
      </c>
      <c r="I439" s="26">
        <v>20</v>
      </c>
      <c r="J439" s="68">
        <v>47.26</v>
      </c>
      <c r="K439" s="84">
        <v>49.95</v>
      </c>
      <c r="L439" s="85" t="s">
        <v>958</v>
      </c>
      <c r="M439" s="27" t="s">
        <v>995</v>
      </c>
      <c r="N439" s="25"/>
      <c r="O439" s="20" t="s">
        <v>10</v>
      </c>
      <c r="P439" s="25" t="s">
        <v>773</v>
      </c>
      <c r="Q439" s="25"/>
    </row>
    <row r="440" spans="1:17" ht="13.5" customHeight="1">
      <c r="A440" s="19" t="s">
        <v>752</v>
      </c>
      <c r="B440" s="20" t="s">
        <v>1341</v>
      </c>
      <c r="C440" s="21">
        <v>9783540732761</v>
      </c>
      <c r="D440" s="22" t="s">
        <v>753</v>
      </c>
      <c r="E440" s="23" t="str">
        <f>HYPERLINK("http://www.springer.com/gp/book/9783540732761","Concise Manual of Hematology and Oncology")</f>
        <v>Concise Manual of Hematology and Oncology</v>
      </c>
      <c r="F440" s="24">
        <v>2008</v>
      </c>
      <c r="G440" s="25" t="s">
        <v>957</v>
      </c>
      <c r="H440" s="70">
        <v>173.24</v>
      </c>
      <c r="I440" s="26">
        <v>25</v>
      </c>
      <c r="J440" s="68">
        <v>129.93</v>
      </c>
      <c r="K440" s="84">
        <v>149.99</v>
      </c>
      <c r="L440" s="85" t="s">
        <v>958</v>
      </c>
      <c r="M440" s="27" t="s">
        <v>977</v>
      </c>
      <c r="N440" s="25"/>
      <c r="O440" s="20" t="s">
        <v>28</v>
      </c>
      <c r="P440" s="25"/>
      <c r="Q440" s="25"/>
    </row>
    <row r="441" spans="1:17" s="6" customFormat="1" ht="13.5" customHeight="1">
      <c r="A441" s="19" t="s">
        <v>752</v>
      </c>
      <c r="B441" s="20" t="s">
        <v>1343</v>
      </c>
      <c r="C441" s="21">
        <v>9783642053238</v>
      </c>
      <c r="D441" s="22" t="s">
        <v>769</v>
      </c>
      <c r="E441" s="23" t="str">
        <f>HYPERLINK("http://www.springer.com/gp/book/9783642053238","Radiology Illustrated: Gynecologic Imaging")</f>
        <v>Radiology Illustrated: Gynecologic Imaging</v>
      </c>
      <c r="F441" s="24">
        <v>2012</v>
      </c>
      <c r="G441" s="25" t="s">
        <v>957</v>
      </c>
      <c r="H441" s="70">
        <v>241.4</v>
      </c>
      <c r="I441" s="26">
        <v>20</v>
      </c>
      <c r="J441" s="68">
        <v>193.12</v>
      </c>
      <c r="K441" s="84">
        <v>209</v>
      </c>
      <c r="L441" s="85" t="s">
        <v>958</v>
      </c>
      <c r="M441" s="27" t="s">
        <v>977</v>
      </c>
      <c r="N441" s="25" t="s">
        <v>1061</v>
      </c>
      <c r="O441" s="20" t="s">
        <v>770</v>
      </c>
      <c r="P441" s="25"/>
      <c r="Q441" s="25" t="s">
        <v>771</v>
      </c>
    </row>
    <row r="442" spans="1:17" ht="13.5" customHeight="1">
      <c r="A442" s="19" t="s">
        <v>752</v>
      </c>
      <c r="B442" s="20" t="s">
        <v>1343</v>
      </c>
      <c r="C442" s="21">
        <v>9781627031363</v>
      </c>
      <c r="D442" s="22" t="s">
        <v>783</v>
      </c>
      <c r="E442" s="23" t="str">
        <f>HYPERLINK("http://www.springer.com/gp/book/9781627031363","Nanoimaging")</f>
        <v>Nanoimaging</v>
      </c>
      <c r="F442" s="24">
        <v>2013</v>
      </c>
      <c r="G442" s="25" t="s">
        <v>957</v>
      </c>
      <c r="H442" s="70">
        <v>161.69</v>
      </c>
      <c r="I442" s="26">
        <v>20</v>
      </c>
      <c r="J442" s="68">
        <v>129.35</v>
      </c>
      <c r="K442" s="84">
        <v>139.99</v>
      </c>
      <c r="L442" s="85" t="s">
        <v>958</v>
      </c>
      <c r="M442" s="27" t="s">
        <v>977</v>
      </c>
      <c r="N442" s="25"/>
      <c r="O442" s="20" t="s">
        <v>10</v>
      </c>
      <c r="P442" s="25" t="s">
        <v>24</v>
      </c>
      <c r="Q442" s="25" t="s">
        <v>784</v>
      </c>
    </row>
    <row r="443" spans="1:17" ht="13.5" customHeight="1">
      <c r="A443" s="19" t="s">
        <v>752</v>
      </c>
      <c r="B443" s="20" t="s">
        <v>1174</v>
      </c>
      <c r="C443" s="21">
        <v>9788132205340</v>
      </c>
      <c r="D443" s="22" t="s">
        <v>764</v>
      </c>
      <c r="E443" s="23" t="str">
        <f>HYPERLINK("http://www.springer.com/gp/book/9788132205340","ICU Protocols")</f>
        <v>ICU Protocols</v>
      </c>
      <c r="F443" s="24">
        <v>2012</v>
      </c>
      <c r="G443" s="25" t="s">
        <v>957</v>
      </c>
      <c r="H443" s="70">
        <v>196.34</v>
      </c>
      <c r="I443" s="26">
        <v>20</v>
      </c>
      <c r="J443" s="68">
        <v>157.07</v>
      </c>
      <c r="K443" s="84">
        <v>169.99</v>
      </c>
      <c r="L443" s="85" t="s">
        <v>958</v>
      </c>
      <c r="M443" s="27" t="s">
        <v>977</v>
      </c>
      <c r="N443" s="25"/>
      <c r="O443" s="20" t="s">
        <v>10</v>
      </c>
      <c r="P443" s="25" t="s">
        <v>765</v>
      </c>
      <c r="Q443" s="25"/>
    </row>
    <row r="444" spans="1:17" ht="13.5" customHeight="1">
      <c r="A444" s="19" t="s">
        <v>752</v>
      </c>
      <c r="B444" s="20" t="s">
        <v>1342</v>
      </c>
      <c r="C444" s="21">
        <v>9783540777540</v>
      </c>
      <c r="D444" s="22" t="s">
        <v>781</v>
      </c>
      <c r="E444" s="23" t="str">
        <f>HYPERLINK("http://www.springer.com/gp/book/9783540777540","Fundamentals of Tissue Engineering and Regenerative Medicine")</f>
        <v>Fundamentals of Tissue Engineering and Regenerative Medicine</v>
      </c>
      <c r="F444" s="24">
        <v>2009</v>
      </c>
      <c r="G444" s="25" t="s">
        <v>957</v>
      </c>
      <c r="H444" s="70">
        <v>287.6</v>
      </c>
      <c r="I444" s="26">
        <v>25</v>
      </c>
      <c r="J444" s="68">
        <v>215.7</v>
      </c>
      <c r="K444" s="84">
        <v>249</v>
      </c>
      <c r="L444" s="85" t="s">
        <v>958</v>
      </c>
      <c r="M444" s="27" t="s">
        <v>977</v>
      </c>
      <c r="N444" s="25"/>
      <c r="O444" s="20" t="s">
        <v>3</v>
      </c>
      <c r="P444" s="25"/>
      <c r="Q444" s="25"/>
    </row>
    <row r="445" spans="1:17" ht="13.5" customHeight="1">
      <c r="A445" s="19" t="s">
        <v>752</v>
      </c>
      <c r="B445" s="20" t="s">
        <v>1170</v>
      </c>
      <c r="C445" s="21">
        <v>9783764358563</v>
      </c>
      <c r="D445" s="22" t="s">
        <v>756</v>
      </c>
      <c r="E445" s="23" t="str">
        <f>HYPERLINK("http://www.springer.com/gp/book/9783764358563","Metalloproteinases as Targets for Anti-Inflammatory Drugs")</f>
        <v>Metalloproteinases as Targets for Anti-Inflammatory Drugs</v>
      </c>
      <c r="F445" s="24">
        <v>1999</v>
      </c>
      <c r="G445" s="25" t="s">
        <v>957</v>
      </c>
      <c r="H445" s="70">
        <v>252.95</v>
      </c>
      <c r="I445" s="26">
        <v>30</v>
      </c>
      <c r="J445" s="68">
        <v>177.07</v>
      </c>
      <c r="K445" s="84">
        <v>219</v>
      </c>
      <c r="L445" s="85" t="s">
        <v>958</v>
      </c>
      <c r="M445" s="27" t="s">
        <v>977</v>
      </c>
      <c r="N445" s="25"/>
      <c r="O445" s="20" t="s">
        <v>3</v>
      </c>
      <c r="P445" s="25"/>
      <c r="Q445" s="25" t="s">
        <v>757</v>
      </c>
    </row>
    <row r="446" spans="1:17" ht="13.5" customHeight="1">
      <c r="A446" s="19" t="s">
        <v>752</v>
      </c>
      <c r="B446" s="20" t="s">
        <v>1170</v>
      </c>
      <c r="C446" s="21">
        <v>9783764358754</v>
      </c>
      <c r="D446" s="22" t="s">
        <v>759</v>
      </c>
      <c r="E446" s="23" t="str">
        <f>HYPERLINK("http://www.springer.com/gp/book/9783764358754","Pain and Neurogenic Inflammation")</f>
        <v>Pain and Neurogenic Inflammation</v>
      </c>
      <c r="F446" s="24">
        <v>1999</v>
      </c>
      <c r="G446" s="25" t="s">
        <v>957</v>
      </c>
      <c r="H446" s="70">
        <v>353.5</v>
      </c>
      <c r="I446" s="26">
        <v>30</v>
      </c>
      <c r="J446" s="68">
        <v>247.45</v>
      </c>
      <c r="K446" s="84">
        <v>309</v>
      </c>
      <c r="L446" s="85" t="s">
        <v>958</v>
      </c>
      <c r="M446" s="27" t="s">
        <v>977</v>
      </c>
      <c r="N446" s="25"/>
      <c r="O446" s="20" t="s">
        <v>3</v>
      </c>
      <c r="P446" s="25"/>
      <c r="Q446" s="25" t="s">
        <v>757</v>
      </c>
    </row>
    <row r="447" spans="1:17" ht="13.5" customHeight="1">
      <c r="A447" s="19" t="s">
        <v>752</v>
      </c>
      <c r="B447" s="20" t="s">
        <v>1170</v>
      </c>
      <c r="C447" s="21">
        <v>9783540254287</v>
      </c>
      <c r="D447" s="22" t="s">
        <v>782</v>
      </c>
      <c r="E447" s="23" t="str">
        <f>HYPERLINK("http://www.springer.com/gp/book/9783540254287","Medical English")</f>
        <v>Medical English</v>
      </c>
      <c r="F447" s="24">
        <v>2006</v>
      </c>
      <c r="G447" s="25" t="s">
        <v>957</v>
      </c>
      <c r="H447" s="70">
        <v>35.46</v>
      </c>
      <c r="I447" s="26">
        <v>30</v>
      </c>
      <c r="J447" s="68">
        <v>24.82</v>
      </c>
      <c r="K447" s="84">
        <v>29.99</v>
      </c>
      <c r="L447" s="85" t="s">
        <v>958</v>
      </c>
      <c r="M447" s="27" t="s">
        <v>995</v>
      </c>
      <c r="N447" s="25"/>
      <c r="O447" s="20" t="s">
        <v>3</v>
      </c>
      <c r="P447" s="25"/>
      <c r="Q447" s="25"/>
    </row>
    <row r="448" spans="1:17" ht="13.5" customHeight="1">
      <c r="A448" s="19" t="s">
        <v>752</v>
      </c>
      <c r="B448" s="20" t="s">
        <v>1175</v>
      </c>
      <c r="C448" s="21">
        <v>9781461440116</v>
      </c>
      <c r="D448" s="22" t="s">
        <v>644</v>
      </c>
      <c r="E448" s="23" t="str">
        <f>HYPERLINK("http://www.springer.com/gp/book/9781461440116","Physics and Radiobiology of Nuclear Medicine")</f>
        <v>Physics and Radiobiology of Nuclear Medicine</v>
      </c>
      <c r="F448" s="24">
        <v>2013</v>
      </c>
      <c r="G448" s="25" t="s">
        <v>957</v>
      </c>
      <c r="H448" s="70">
        <v>94.59</v>
      </c>
      <c r="I448" s="26">
        <v>20</v>
      </c>
      <c r="J448" s="68">
        <v>75.67</v>
      </c>
      <c r="K448" s="84">
        <v>79.99</v>
      </c>
      <c r="L448" s="85" t="s">
        <v>958</v>
      </c>
      <c r="M448" s="27" t="s">
        <v>977</v>
      </c>
      <c r="N448" s="25" t="s">
        <v>1086</v>
      </c>
      <c r="O448" s="20" t="s">
        <v>28</v>
      </c>
      <c r="P448" s="25"/>
      <c r="Q448" s="25"/>
    </row>
    <row r="449" spans="1:17" ht="13.5" customHeight="1">
      <c r="A449" s="19" t="s">
        <v>752</v>
      </c>
      <c r="B449" s="20" t="s">
        <v>1175</v>
      </c>
      <c r="C449" s="21">
        <v>9783642311666</v>
      </c>
      <c r="D449" s="22" t="s">
        <v>778</v>
      </c>
      <c r="E449" s="23" t="str">
        <f>HYPERLINK("http://www.springer.com/gp/book/9783642311666","Radiation Protection in Nuclear Medicine")</f>
        <v>Radiation Protection in Nuclear Medicine</v>
      </c>
      <c r="F449" s="24">
        <v>2013</v>
      </c>
      <c r="G449" s="25" t="s">
        <v>957</v>
      </c>
      <c r="H449" s="70">
        <v>115.44</v>
      </c>
      <c r="I449" s="26">
        <v>20</v>
      </c>
      <c r="J449" s="68">
        <v>92.35</v>
      </c>
      <c r="K449" s="84">
        <v>99.95</v>
      </c>
      <c r="L449" s="85" t="s">
        <v>958</v>
      </c>
      <c r="M449" s="27" t="s">
        <v>977</v>
      </c>
      <c r="N449" s="25"/>
      <c r="O449" s="20" t="s">
        <v>10</v>
      </c>
      <c r="P449" s="25"/>
      <c r="Q449" s="25"/>
    </row>
    <row r="450" spans="1:17" ht="13.5" customHeight="1">
      <c r="A450" s="19" t="s">
        <v>752</v>
      </c>
      <c r="B450" s="20" t="s">
        <v>1175</v>
      </c>
      <c r="C450" s="21">
        <v>9788847027626</v>
      </c>
      <c r="D450" s="22" t="s">
        <v>774</v>
      </c>
      <c r="E450" s="23" t="str">
        <f>HYPERLINK("http://www.springer.com/gp/book/9788847027626","Radionuclide Imaging of Infection and Inflammation")</f>
        <v>Radionuclide Imaging of Infection and Inflammation</v>
      </c>
      <c r="F450" s="24">
        <v>2013</v>
      </c>
      <c r="G450" s="25" t="s">
        <v>957</v>
      </c>
      <c r="H450" s="70">
        <v>196.29</v>
      </c>
      <c r="I450" s="26">
        <v>20</v>
      </c>
      <c r="J450" s="68">
        <v>157.03</v>
      </c>
      <c r="K450" s="84">
        <v>169.95</v>
      </c>
      <c r="L450" s="85" t="s">
        <v>958</v>
      </c>
      <c r="M450" s="27" t="s">
        <v>977</v>
      </c>
      <c r="N450" s="25"/>
      <c r="O450" s="20" t="s">
        <v>10</v>
      </c>
      <c r="P450" s="25" t="s">
        <v>775</v>
      </c>
      <c r="Q450" s="25"/>
    </row>
    <row r="451" spans="1:17" ht="13.5" customHeight="1">
      <c r="A451" s="19" t="s">
        <v>752</v>
      </c>
      <c r="B451" s="20" t="s">
        <v>1338</v>
      </c>
      <c r="C451" s="21">
        <v>9780387242910</v>
      </c>
      <c r="D451" s="22" t="s">
        <v>762</v>
      </c>
      <c r="E451" s="23" t="str">
        <f>HYPERLINK("http://www.springer.com/gp/book/9780387242910","Oncology")</f>
        <v>Oncology</v>
      </c>
      <c r="F451" s="24">
        <v>2006</v>
      </c>
      <c r="G451" s="25" t="s">
        <v>957</v>
      </c>
      <c r="H451" s="70">
        <v>219.39</v>
      </c>
      <c r="I451" s="26">
        <v>30</v>
      </c>
      <c r="J451" s="68">
        <v>153.57</v>
      </c>
      <c r="K451" s="84">
        <v>189.95</v>
      </c>
      <c r="L451" s="85" t="s">
        <v>958</v>
      </c>
      <c r="M451" s="27" t="s">
        <v>977</v>
      </c>
      <c r="N451" s="25"/>
      <c r="O451" s="20" t="s">
        <v>28</v>
      </c>
      <c r="P451" s="25" t="s">
        <v>763</v>
      </c>
      <c r="Q451" s="25"/>
    </row>
    <row r="452" spans="1:17" ht="13.5" customHeight="1">
      <c r="A452" s="19" t="s">
        <v>752</v>
      </c>
      <c r="B452" s="20" t="s">
        <v>1338</v>
      </c>
      <c r="C452" s="21">
        <v>9781441997548</v>
      </c>
      <c r="D452" s="22" t="s">
        <v>776</v>
      </c>
      <c r="E452" s="23" t="str">
        <f>HYPERLINK("http://www.springer.com/gp/book/9781441997548","Biomarkers in Oncology")</f>
        <v>Biomarkers in Oncology</v>
      </c>
      <c r="F452" s="24">
        <v>2013</v>
      </c>
      <c r="G452" s="25" t="s">
        <v>957</v>
      </c>
      <c r="H452" s="70">
        <v>241.4</v>
      </c>
      <c r="I452" s="26">
        <v>20</v>
      </c>
      <c r="J452" s="68">
        <v>193.12</v>
      </c>
      <c r="K452" s="84">
        <v>209</v>
      </c>
      <c r="L452" s="85" t="s">
        <v>958</v>
      </c>
      <c r="M452" s="27" t="s">
        <v>977</v>
      </c>
      <c r="N452" s="25"/>
      <c r="O452" s="20" t="s">
        <v>10</v>
      </c>
      <c r="P452" s="25" t="s">
        <v>777</v>
      </c>
      <c r="Q452" s="25"/>
    </row>
    <row r="453" spans="1:17" ht="13.5" customHeight="1">
      <c r="A453" s="19" t="s">
        <v>752</v>
      </c>
      <c r="B453" s="20" t="s">
        <v>1339</v>
      </c>
      <c r="C453" s="21">
        <v>9781461409700</v>
      </c>
      <c r="D453" s="22" t="s">
        <v>755</v>
      </c>
      <c r="E453" s="23" t="str">
        <f>HYPERLINK("http://www.springer.com/gp/book/9781461409700","Smith and Nesi’s Ophthalmic Plastic and Reconstructive Surgery")</f>
        <v>Smith and Nesi’s Ophthalmic Plastic and Reconstructive Surgery</v>
      </c>
      <c r="F453" s="24">
        <v>2012</v>
      </c>
      <c r="G453" s="25" t="s">
        <v>957</v>
      </c>
      <c r="H453" s="70">
        <v>299.15</v>
      </c>
      <c r="I453" s="26">
        <v>20</v>
      </c>
      <c r="J453" s="68">
        <v>239.32</v>
      </c>
      <c r="K453" s="84">
        <v>259</v>
      </c>
      <c r="L453" s="85" t="s">
        <v>958</v>
      </c>
      <c r="M453" s="27" t="s">
        <v>977</v>
      </c>
      <c r="N453" s="25" t="s">
        <v>1054</v>
      </c>
      <c r="O453" s="20" t="s">
        <v>28</v>
      </c>
      <c r="P453" s="25"/>
      <c r="Q453" s="25"/>
    </row>
    <row r="454" spans="1:17" ht="13.5" customHeight="1">
      <c r="A454" s="19" t="s">
        <v>752</v>
      </c>
      <c r="B454" s="20" t="s">
        <v>1337</v>
      </c>
      <c r="C454" s="21">
        <v>9783642272271</v>
      </c>
      <c r="D454" s="22" t="s">
        <v>779</v>
      </c>
      <c r="E454" s="23" t="str">
        <f>HYPERLINK("http://www.springer.com/gp/book/9783642272271","Clinical Facial Analysis")</f>
        <v>Clinical Facial Analysis</v>
      </c>
      <c r="F454" s="24">
        <v>2012</v>
      </c>
      <c r="G454" s="25" t="s">
        <v>957</v>
      </c>
      <c r="H454" s="70">
        <v>161.64</v>
      </c>
      <c r="I454" s="26">
        <v>20</v>
      </c>
      <c r="J454" s="68">
        <v>129.31</v>
      </c>
      <c r="K454" s="84">
        <v>139.95</v>
      </c>
      <c r="L454" s="85" t="s">
        <v>958</v>
      </c>
      <c r="M454" s="27" t="s">
        <v>977</v>
      </c>
      <c r="N454" s="25" t="s">
        <v>1061</v>
      </c>
      <c r="O454" s="20" t="s">
        <v>3</v>
      </c>
      <c r="P454" s="25" t="s">
        <v>780</v>
      </c>
      <c r="Q454" s="25"/>
    </row>
    <row r="455" spans="1:17" ht="13.5" customHeight="1">
      <c r="A455" s="19" t="s">
        <v>752</v>
      </c>
      <c r="B455" s="20" t="s">
        <v>1340</v>
      </c>
      <c r="C455" s="21">
        <v>9781852338725</v>
      </c>
      <c r="D455" s="22" t="s">
        <v>766</v>
      </c>
      <c r="E455" s="23" t="str">
        <f>HYPERLINK("http://www.springer.com/gp/book/9781852338725","Pathology of Malignant Mesothelioma")</f>
        <v>Pathology of Malignant Mesothelioma</v>
      </c>
      <c r="F455" s="24">
        <v>2006</v>
      </c>
      <c r="G455" s="25" t="s">
        <v>957</v>
      </c>
      <c r="H455" s="70">
        <v>184.79</v>
      </c>
      <c r="I455" s="26">
        <v>30</v>
      </c>
      <c r="J455" s="68">
        <v>129.35</v>
      </c>
      <c r="K455" s="84">
        <v>159.99</v>
      </c>
      <c r="L455" s="85" t="s">
        <v>958</v>
      </c>
      <c r="M455" s="27" t="s">
        <v>977</v>
      </c>
      <c r="N455" s="25"/>
      <c r="O455" s="20" t="s">
        <v>98</v>
      </c>
      <c r="P455" s="25"/>
      <c r="Q455" s="25"/>
    </row>
    <row r="456" spans="1:17" ht="13.5" customHeight="1">
      <c r="A456" s="19" t="s">
        <v>752</v>
      </c>
      <c r="B456" s="20" t="s">
        <v>1340</v>
      </c>
      <c r="C456" s="21">
        <v>9780387876658</v>
      </c>
      <c r="D456" s="22" t="s">
        <v>750</v>
      </c>
      <c r="E456" s="23" t="str">
        <f>HYPERLINK("http://www.springer.com/gp/book/9780387876658","The Bethesda System for Reporting Thyroid Cytopathology")</f>
        <v>The Bethesda System for Reporting Thyroid Cytopathology</v>
      </c>
      <c r="F456" s="24">
        <v>2010</v>
      </c>
      <c r="G456" s="25" t="s">
        <v>957</v>
      </c>
      <c r="H456" s="70">
        <v>35.42</v>
      </c>
      <c r="I456" s="26">
        <v>25</v>
      </c>
      <c r="J456" s="68">
        <v>26.57</v>
      </c>
      <c r="K456" s="84">
        <v>29.95</v>
      </c>
      <c r="L456" s="85" t="s">
        <v>958</v>
      </c>
      <c r="M456" s="27" t="s">
        <v>995</v>
      </c>
      <c r="N456" s="25"/>
      <c r="O456" s="20" t="s">
        <v>8</v>
      </c>
      <c r="P456" s="25" t="s">
        <v>751</v>
      </c>
      <c r="Q456" s="25"/>
    </row>
    <row r="457" spans="1:17" ht="13.5" customHeight="1">
      <c r="A457" s="19" t="s">
        <v>752</v>
      </c>
      <c r="B457" s="20" t="s">
        <v>1340</v>
      </c>
      <c r="C457" s="21">
        <v>9780857297563</v>
      </c>
      <c r="D457" s="22" t="s">
        <v>760</v>
      </c>
      <c r="E457" s="23" t="str">
        <f>HYPERLINK("http://www.springer.com/gp/book/9780857297563","Pathology of the Vulva and Vagina")</f>
        <v>Pathology of the Vulva and Vagina</v>
      </c>
      <c r="F457" s="24">
        <v>2013</v>
      </c>
      <c r="G457" s="25" t="s">
        <v>957</v>
      </c>
      <c r="H457" s="70">
        <v>126.99</v>
      </c>
      <c r="I457" s="26">
        <v>20</v>
      </c>
      <c r="J457" s="68">
        <v>101.59</v>
      </c>
      <c r="K457" s="84">
        <v>109.95</v>
      </c>
      <c r="L457" s="85" t="s">
        <v>958</v>
      </c>
      <c r="M457" s="27" t="s">
        <v>977</v>
      </c>
      <c r="N457" s="25"/>
      <c r="O457" s="20" t="s">
        <v>10</v>
      </c>
      <c r="P457" s="25"/>
      <c r="Q457" s="25" t="s">
        <v>761</v>
      </c>
    </row>
    <row r="458" spans="1:17" ht="13.5" customHeight="1">
      <c r="A458" s="19" t="s">
        <v>752</v>
      </c>
      <c r="B458" s="20" t="s">
        <v>1172</v>
      </c>
      <c r="C458" s="21">
        <v>9788847026513</v>
      </c>
      <c r="D458" s="22" t="s">
        <v>790</v>
      </c>
      <c r="E458" s="23" t="str">
        <f>HYPERLINK("http://www.springer.com/gp/book/9788847026513","Oncoplastic and Reconstructive Breast Surgery")</f>
        <v>Oncoplastic and Reconstructive Breast Surgery</v>
      </c>
      <c r="F458" s="24">
        <v>2013</v>
      </c>
      <c r="G458" s="25" t="s">
        <v>957</v>
      </c>
      <c r="H458" s="70">
        <v>196.29</v>
      </c>
      <c r="I458" s="26">
        <v>20</v>
      </c>
      <c r="J458" s="68">
        <v>157.03</v>
      </c>
      <c r="K458" s="84">
        <v>169.95</v>
      </c>
      <c r="L458" s="85" t="s">
        <v>958</v>
      </c>
      <c r="M458" s="27" t="s">
        <v>977</v>
      </c>
      <c r="N458" s="25"/>
      <c r="O458" s="20" t="s">
        <v>10</v>
      </c>
      <c r="P458" s="25"/>
      <c r="Q458" s="25"/>
    </row>
    <row r="459" spans="1:17" ht="13.5" customHeight="1">
      <c r="A459" s="19" t="s">
        <v>752</v>
      </c>
      <c r="B459" s="20" t="s">
        <v>1336</v>
      </c>
      <c r="C459" s="21">
        <v>9783540229520</v>
      </c>
      <c r="D459" s="22" t="s">
        <v>754</v>
      </c>
      <c r="E459" s="23" t="str">
        <f>HYPERLINK("http://www.springer.com/gp/book/9783540229520","Controversies in Laparoscopic Surgery")</f>
        <v>Controversies in Laparoscopic Surgery</v>
      </c>
      <c r="F459" s="24">
        <v>2006</v>
      </c>
      <c r="G459" s="25" t="s">
        <v>957</v>
      </c>
      <c r="H459" s="70">
        <v>138.54</v>
      </c>
      <c r="I459" s="26">
        <v>30</v>
      </c>
      <c r="J459" s="68">
        <v>96.98</v>
      </c>
      <c r="K459" s="84">
        <v>119.95</v>
      </c>
      <c r="L459" s="85" t="s">
        <v>958</v>
      </c>
      <c r="M459" s="27" t="s">
        <v>977</v>
      </c>
      <c r="N459" s="25"/>
      <c r="O459" s="20" t="s">
        <v>3</v>
      </c>
      <c r="P459" s="25"/>
      <c r="Q459" s="25"/>
    </row>
    <row r="460" spans="1:17" ht="13.5" customHeight="1">
      <c r="A460" s="19" t="s">
        <v>752</v>
      </c>
      <c r="B460" s="20" t="s">
        <v>1176</v>
      </c>
      <c r="C460" s="21">
        <v>9783642305856</v>
      </c>
      <c r="D460" s="22" t="s">
        <v>796</v>
      </c>
      <c r="E460" s="23" t="str">
        <f>HYPERLINK("http://www.springer.com/gp/book/9783642305856","Learning Ultrasound Imaging")</f>
        <v>Learning Ultrasound Imaging</v>
      </c>
      <c r="F460" s="24">
        <v>2012</v>
      </c>
      <c r="G460" s="25" t="s">
        <v>957</v>
      </c>
      <c r="H460" s="70">
        <v>55.57</v>
      </c>
      <c r="I460" s="26">
        <v>20</v>
      </c>
      <c r="J460" s="68">
        <v>44.46</v>
      </c>
      <c r="K460" s="84">
        <v>46.99</v>
      </c>
      <c r="L460" s="85" t="s">
        <v>958</v>
      </c>
      <c r="M460" s="27" t="s">
        <v>995</v>
      </c>
      <c r="N460" s="25"/>
      <c r="O460" s="20" t="s">
        <v>28</v>
      </c>
      <c r="P460" s="25"/>
      <c r="Q460" s="25" t="s">
        <v>797</v>
      </c>
    </row>
    <row r="461" spans="1:17" ht="13.5" customHeight="1">
      <c r="A461" s="28" t="s">
        <v>752</v>
      </c>
      <c r="B461" s="27" t="s">
        <v>1104</v>
      </c>
      <c r="C461" s="29">
        <v>9783764358006</v>
      </c>
      <c r="D461" s="30" t="s">
        <v>982</v>
      </c>
      <c r="E461" s="31" t="s">
        <v>983</v>
      </c>
      <c r="F461" s="32">
        <v>1999</v>
      </c>
      <c r="G461" s="33" t="s">
        <v>957</v>
      </c>
      <c r="H461" s="71">
        <v>101.16</v>
      </c>
      <c r="I461" s="26">
        <v>30</v>
      </c>
      <c r="J461" s="68">
        <v>70.81</v>
      </c>
      <c r="K461" s="86">
        <v>85.55</v>
      </c>
      <c r="L461" s="87" t="s">
        <v>958</v>
      </c>
      <c r="M461" s="27" t="s">
        <v>977</v>
      </c>
      <c r="N461" s="29"/>
      <c r="O461" s="20" t="s">
        <v>3</v>
      </c>
      <c r="P461" s="27"/>
      <c r="Q461" s="27"/>
    </row>
    <row r="462" spans="1:17" ht="13.5" customHeight="1">
      <c r="A462" s="28" t="s">
        <v>752</v>
      </c>
      <c r="B462" s="27" t="s">
        <v>1071</v>
      </c>
      <c r="C462" s="29">
        <v>9780817639822</v>
      </c>
      <c r="D462" s="30" t="s">
        <v>1001</v>
      </c>
      <c r="E462" s="31" t="s">
        <v>1002</v>
      </c>
      <c r="F462" s="32">
        <v>1999</v>
      </c>
      <c r="G462" s="33" t="s">
        <v>957</v>
      </c>
      <c r="H462" s="71">
        <v>134.71</v>
      </c>
      <c r="I462" s="26">
        <v>30</v>
      </c>
      <c r="J462" s="68">
        <v>94.3</v>
      </c>
      <c r="K462" s="86">
        <v>116.63</v>
      </c>
      <c r="L462" s="87" t="s">
        <v>958</v>
      </c>
      <c r="M462" s="27" t="s">
        <v>977</v>
      </c>
      <c r="N462" s="29"/>
      <c r="O462" s="20" t="s">
        <v>3</v>
      </c>
      <c r="P462" s="27"/>
      <c r="Q462" s="27" t="s">
        <v>1070</v>
      </c>
    </row>
    <row r="463" spans="1:17" ht="13.5" customHeight="1">
      <c r="A463" s="28" t="s">
        <v>752</v>
      </c>
      <c r="B463" s="27" t="s">
        <v>1079</v>
      </c>
      <c r="C463" s="29">
        <v>9783764358471</v>
      </c>
      <c r="D463" s="30" t="s">
        <v>984</v>
      </c>
      <c r="E463" s="31" t="s">
        <v>985</v>
      </c>
      <c r="F463" s="32">
        <v>1999</v>
      </c>
      <c r="G463" s="33" t="s">
        <v>957</v>
      </c>
      <c r="H463" s="71">
        <v>101.16</v>
      </c>
      <c r="I463" s="26">
        <v>30</v>
      </c>
      <c r="J463" s="68">
        <v>70.81</v>
      </c>
      <c r="K463" s="86">
        <v>85.55</v>
      </c>
      <c r="L463" s="87" t="s">
        <v>958</v>
      </c>
      <c r="M463" s="27" t="s">
        <v>977</v>
      </c>
      <c r="N463" s="29"/>
      <c r="O463" s="20" t="s">
        <v>3</v>
      </c>
      <c r="P463" s="27"/>
      <c r="Q463" s="27"/>
    </row>
    <row r="464" spans="1:17" ht="13.5" customHeight="1">
      <c r="A464" s="28" t="s">
        <v>752</v>
      </c>
      <c r="B464" s="27" t="s">
        <v>1079</v>
      </c>
      <c r="C464" s="29">
        <v>9783540212775</v>
      </c>
      <c r="D464" s="30" t="s">
        <v>1023</v>
      </c>
      <c r="E464" s="31" t="s">
        <v>1024</v>
      </c>
      <c r="F464" s="32">
        <v>2005</v>
      </c>
      <c r="G464" s="33" t="s">
        <v>957</v>
      </c>
      <c r="H464" s="71">
        <v>160.6</v>
      </c>
      <c r="I464" s="26">
        <v>30</v>
      </c>
      <c r="J464" s="68">
        <v>112.42</v>
      </c>
      <c r="K464" s="86">
        <v>139.05</v>
      </c>
      <c r="L464" s="87" t="s">
        <v>958</v>
      </c>
      <c r="M464" s="27" t="s">
        <v>977</v>
      </c>
      <c r="N464" s="29"/>
      <c r="O464" s="20" t="s">
        <v>3</v>
      </c>
      <c r="P464" s="27"/>
      <c r="Q464" s="27"/>
    </row>
    <row r="465" spans="1:17" ht="13.5" customHeight="1">
      <c r="A465" s="28" t="s">
        <v>752</v>
      </c>
      <c r="B465" s="27" t="s">
        <v>1079</v>
      </c>
      <c r="C465" s="29">
        <v>9783540758860</v>
      </c>
      <c r="D465" s="30" t="s">
        <v>1035</v>
      </c>
      <c r="E465" s="31" t="s">
        <v>1036</v>
      </c>
      <c r="F465" s="32">
        <v>2008</v>
      </c>
      <c r="G465" s="33" t="s">
        <v>957</v>
      </c>
      <c r="H465" s="71">
        <v>107.42</v>
      </c>
      <c r="I465" s="26">
        <v>25</v>
      </c>
      <c r="J465" s="68">
        <v>80.57</v>
      </c>
      <c r="K465" s="86">
        <v>93</v>
      </c>
      <c r="L465" s="87" t="s">
        <v>958</v>
      </c>
      <c r="M465" s="27" t="s">
        <v>1063</v>
      </c>
      <c r="N465" s="29"/>
      <c r="O465" s="20" t="s">
        <v>3</v>
      </c>
      <c r="P465" s="27"/>
      <c r="Q465" s="27"/>
    </row>
    <row r="466" spans="1:17" ht="13.5" customHeight="1">
      <c r="A466" s="28" t="s">
        <v>752</v>
      </c>
      <c r="B466" s="27" t="s">
        <v>1085</v>
      </c>
      <c r="C466" s="29">
        <v>9783540209522</v>
      </c>
      <c r="D466" s="30" t="s">
        <v>1021</v>
      </c>
      <c r="E466" s="31" t="s">
        <v>1022</v>
      </c>
      <c r="F466" s="32">
        <v>2004</v>
      </c>
      <c r="G466" s="33" t="s">
        <v>957</v>
      </c>
      <c r="H466" s="71">
        <v>204.44</v>
      </c>
      <c r="I466" s="26">
        <v>30</v>
      </c>
      <c r="J466" s="68">
        <v>143.11</v>
      </c>
      <c r="K466" s="86">
        <v>177</v>
      </c>
      <c r="L466" s="87" t="s">
        <v>958</v>
      </c>
      <c r="M466" s="27" t="s">
        <v>1063</v>
      </c>
      <c r="N466" s="29"/>
      <c r="O466" s="20" t="s">
        <v>3</v>
      </c>
      <c r="P466" s="27"/>
      <c r="Q466" s="27"/>
    </row>
    <row r="467" spans="1:17" ht="13.5" customHeight="1">
      <c r="A467" s="28" t="s">
        <v>752</v>
      </c>
      <c r="B467" s="27" t="s">
        <v>1106</v>
      </c>
      <c r="C467" s="29">
        <v>9783764358501</v>
      </c>
      <c r="D467" s="30" t="s">
        <v>986</v>
      </c>
      <c r="E467" s="31" t="s">
        <v>987</v>
      </c>
      <c r="F467" s="32">
        <v>1999</v>
      </c>
      <c r="G467" s="33" t="s">
        <v>957</v>
      </c>
      <c r="H467" s="71">
        <v>101.16</v>
      </c>
      <c r="I467" s="26">
        <v>30</v>
      </c>
      <c r="J467" s="68">
        <v>70.81</v>
      </c>
      <c r="K467" s="86">
        <v>85.55</v>
      </c>
      <c r="L467" s="87" t="s">
        <v>958</v>
      </c>
      <c r="M467" s="27" t="s">
        <v>977</v>
      </c>
      <c r="N467" s="29"/>
      <c r="O467" s="20" t="s">
        <v>3</v>
      </c>
      <c r="P467" s="27"/>
      <c r="Q467" s="27" t="s">
        <v>1105</v>
      </c>
    </row>
    <row r="468" spans="1:17" ht="13.5" customHeight="1">
      <c r="A468" s="28" t="s">
        <v>752</v>
      </c>
      <c r="B468" s="27" t="s">
        <v>1090</v>
      </c>
      <c r="C468" s="29">
        <v>9783540421610</v>
      </c>
      <c r="D468" s="30" t="s">
        <v>1027</v>
      </c>
      <c r="E468" s="31" t="s">
        <v>1028</v>
      </c>
      <c r="F468" s="32">
        <v>2002</v>
      </c>
      <c r="G468" s="33" t="s">
        <v>957</v>
      </c>
      <c r="H468" s="71">
        <v>160.53</v>
      </c>
      <c r="I468" s="26">
        <v>30</v>
      </c>
      <c r="J468" s="68">
        <v>112.37</v>
      </c>
      <c r="K468" s="86">
        <v>138.99</v>
      </c>
      <c r="L468" s="87" t="s">
        <v>958</v>
      </c>
      <c r="M468" s="27" t="s">
        <v>977</v>
      </c>
      <c r="N468" s="29"/>
      <c r="O468" s="20" t="s">
        <v>3</v>
      </c>
      <c r="P468" s="27" t="s">
        <v>1091</v>
      </c>
      <c r="Q468" s="27"/>
    </row>
    <row r="469" spans="1:17" ht="13.5" customHeight="1">
      <c r="A469" s="28" t="s">
        <v>752</v>
      </c>
      <c r="B469" s="27" t="s">
        <v>1059</v>
      </c>
      <c r="C469" s="29">
        <v>9783764358860</v>
      </c>
      <c r="D469" s="30" t="s">
        <v>974</v>
      </c>
      <c r="E469" s="31" t="s">
        <v>975</v>
      </c>
      <c r="F469" s="32">
        <v>1999</v>
      </c>
      <c r="G469" s="34" t="s">
        <v>976</v>
      </c>
      <c r="H469" s="72">
        <v>101.16</v>
      </c>
      <c r="I469" s="26">
        <v>30</v>
      </c>
      <c r="J469" s="68">
        <v>70.81</v>
      </c>
      <c r="K469" s="86">
        <v>85.55</v>
      </c>
      <c r="L469" s="87" t="s">
        <v>958</v>
      </c>
      <c r="M469" s="27" t="s">
        <v>977</v>
      </c>
      <c r="N469" s="29"/>
      <c r="O469" s="20" t="s">
        <v>3</v>
      </c>
      <c r="P469" s="27"/>
      <c r="Q469" s="27"/>
    </row>
    <row r="470" spans="1:17" ht="13.5" customHeight="1">
      <c r="A470" s="19" t="s">
        <v>752</v>
      </c>
      <c r="B470" s="20" t="s">
        <v>1326</v>
      </c>
      <c r="C470" s="21">
        <v>9781461415350</v>
      </c>
      <c r="D470" s="22" t="s">
        <v>794</v>
      </c>
      <c r="E470" s="23" t="str">
        <f>HYPERLINK("http://www.springer.com/gp/book/9781461415350","Critical Issues for the Development of Sustainable E-health Solutions")</f>
        <v>Critical Issues for the Development of Sustainable E-health Solutions</v>
      </c>
      <c r="F470" s="24">
        <v>2012</v>
      </c>
      <c r="G470" s="25" t="s">
        <v>957</v>
      </c>
      <c r="H470" s="70">
        <v>252.95</v>
      </c>
      <c r="I470" s="26">
        <v>20</v>
      </c>
      <c r="J470" s="68">
        <v>202.36</v>
      </c>
      <c r="K470" s="84">
        <v>219</v>
      </c>
      <c r="L470" s="85" t="s">
        <v>958</v>
      </c>
      <c r="M470" s="27" t="s">
        <v>977</v>
      </c>
      <c r="N470" s="25"/>
      <c r="O470" s="20" t="s">
        <v>3</v>
      </c>
      <c r="P470" s="25"/>
      <c r="Q470" s="25" t="s">
        <v>795</v>
      </c>
    </row>
    <row r="471" spans="1:17" ht="13.5" customHeight="1">
      <c r="A471" s="19" t="s">
        <v>752</v>
      </c>
      <c r="B471" s="20" t="s">
        <v>1326</v>
      </c>
      <c r="C471" s="21">
        <v>9782817804774</v>
      </c>
      <c r="D471" s="22" t="s">
        <v>791</v>
      </c>
      <c r="E471" s="23" t="str">
        <f>HYPERLINK("http://www.springer.com/gp/book/9782817804774","Medical Informatics, e-Health")</f>
        <v>Medical Informatics, e-Health</v>
      </c>
      <c r="F471" s="24">
        <v>2014</v>
      </c>
      <c r="G471" s="25" t="s">
        <v>957</v>
      </c>
      <c r="H471" s="70">
        <v>82.76</v>
      </c>
      <c r="I471" s="26">
        <v>20</v>
      </c>
      <c r="J471" s="68">
        <v>66.21</v>
      </c>
      <c r="K471" s="84">
        <v>69.99</v>
      </c>
      <c r="L471" s="85" t="s">
        <v>958</v>
      </c>
      <c r="M471" s="27" t="s">
        <v>977</v>
      </c>
      <c r="N471" s="25"/>
      <c r="O471" s="20" t="s">
        <v>10</v>
      </c>
      <c r="P471" s="25" t="s">
        <v>792</v>
      </c>
      <c r="Q471" s="25" t="s">
        <v>793</v>
      </c>
    </row>
    <row r="472" spans="1:17" ht="13.5" customHeight="1">
      <c r="A472" s="28" t="s">
        <v>752</v>
      </c>
      <c r="B472" s="27" t="s">
        <v>1083</v>
      </c>
      <c r="C472" s="29">
        <v>9783211838853</v>
      </c>
      <c r="D472" s="30" t="s">
        <v>1017</v>
      </c>
      <c r="E472" s="31" t="s">
        <v>1018</v>
      </c>
      <c r="F472" s="32">
        <v>2008</v>
      </c>
      <c r="G472" s="33" t="s">
        <v>957</v>
      </c>
      <c r="H472" s="71">
        <v>414.96</v>
      </c>
      <c r="I472" s="26">
        <v>25</v>
      </c>
      <c r="J472" s="68">
        <v>311.22</v>
      </c>
      <c r="K472" s="86">
        <v>362.73</v>
      </c>
      <c r="L472" s="87" t="s">
        <v>958</v>
      </c>
      <c r="M472" s="27" t="s">
        <v>977</v>
      </c>
      <c r="N472" s="29"/>
      <c r="O472" s="20" t="s">
        <v>3</v>
      </c>
      <c r="P472" s="27" t="s">
        <v>1084</v>
      </c>
      <c r="Q472" s="27"/>
    </row>
    <row r="473" spans="1:17" ht="13.5" customHeight="1">
      <c r="A473" s="28" t="s">
        <v>752</v>
      </c>
      <c r="B473" s="27" t="s">
        <v>1081</v>
      </c>
      <c r="C473" s="29">
        <v>9781852331429</v>
      </c>
      <c r="D473" s="30" t="s">
        <v>1014</v>
      </c>
      <c r="E473" s="31" t="s">
        <v>1080</v>
      </c>
      <c r="F473" s="32">
        <v>1999</v>
      </c>
      <c r="G473" s="33" t="s">
        <v>957</v>
      </c>
      <c r="H473" s="71">
        <v>216.22</v>
      </c>
      <c r="I473" s="26">
        <v>30</v>
      </c>
      <c r="J473" s="68">
        <v>151.35</v>
      </c>
      <c r="K473" s="86">
        <v>187.2</v>
      </c>
      <c r="L473" s="87" t="s">
        <v>958</v>
      </c>
      <c r="M473" s="27" t="s">
        <v>977</v>
      </c>
      <c r="N473" s="29" t="s">
        <v>1054</v>
      </c>
      <c r="O473" s="20" t="s">
        <v>3</v>
      </c>
      <c r="P473" s="27"/>
      <c r="Q473" s="27"/>
    </row>
    <row r="474" spans="1:17" ht="13.5" customHeight="1">
      <c r="A474" s="28" t="s">
        <v>752</v>
      </c>
      <c r="B474" s="27" t="s">
        <v>1056</v>
      </c>
      <c r="C474" s="29">
        <v>9780896033054</v>
      </c>
      <c r="D474" s="30" t="s">
        <v>966</v>
      </c>
      <c r="E474" s="31" t="s">
        <v>967</v>
      </c>
      <c r="F474" s="32">
        <v>1996</v>
      </c>
      <c r="G474" s="33" t="s">
        <v>965</v>
      </c>
      <c r="H474" s="71">
        <v>135.14</v>
      </c>
      <c r="I474" s="26">
        <v>30</v>
      </c>
      <c r="J474" s="68">
        <v>94.6</v>
      </c>
      <c r="K474" s="86">
        <v>117</v>
      </c>
      <c r="L474" s="87" t="s">
        <v>958</v>
      </c>
      <c r="M474" s="27" t="s">
        <v>977</v>
      </c>
      <c r="N474" s="29"/>
      <c r="O474" s="20" t="s">
        <v>3</v>
      </c>
      <c r="P474" s="27"/>
      <c r="Q474" s="27"/>
    </row>
    <row r="475" spans="1:17" ht="13.5" customHeight="1">
      <c r="A475" s="28" t="s">
        <v>752</v>
      </c>
      <c r="B475" s="27" t="s">
        <v>1056</v>
      </c>
      <c r="C475" s="29">
        <v>9783764358228</v>
      </c>
      <c r="D475" s="30" t="s">
        <v>980</v>
      </c>
      <c r="E475" s="31" t="s">
        <v>981</v>
      </c>
      <c r="F475" s="32">
        <v>1998</v>
      </c>
      <c r="G475" s="34" t="s">
        <v>976</v>
      </c>
      <c r="H475" s="72">
        <v>101.16</v>
      </c>
      <c r="I475" s="26">
        <v>30</v>
      </c>
      <c r="J475" s="68">
        <v>70.81</v>
      </c>
      <c r="K475" s="86">
        <v>85.55</v>
      </c>
      <c r="L475" s="87" t="s">
        <v>958</v>
      </c>
      <c r="M475" s="27" t="s">
        <v>977</v>
      </c>
      <c r="N475" s="29"/>
      <c r="O475" s="20" t="s">
        <v>3</v>
      </c>
      <c r="P475" s="27"/>
      <c r="Q475" s="27"/>
    </row>
    <row r="476" spans="1:17" ht="13.5" customHeight="1">
      <c r="A476" s="28" t="s">
        <v>752</v>
      </c>
      <c r="B476" s="27" t="s">
        <v>1056</v>
      </c>
      <c r="C476" s="29">
        <v>9783764359676</v>
      </c>
      <c r="D476" s="30" t="s">
        <v>978</v>
      </c>
      <c r="E476" s="31" t="s">
        <v>979</v>
      </c>
      <c r="F476" s="32">
        <v>1999</v>
      </c>
      <c r="G476" s="34" t="s">
        <v>976</v>
      </c>
      <c r="H476" s="72">
        <v>101.16</v>
      </c>
      <c r="I476" s="26">
        <v>30</v>
      </c>
      <c r="J476" s="68">
        <v>70.81</v>
      </c>
      <c r="K476" s="86">
        <v>85.55</v>
      </c>
      <c r="L476" s="87" t="s">
        <v>958</v>
      </c>
      <c r="M476" s="27" t="s">
        <v>977</v>
      </c>
      <c r="N476" s="29"/>
      <c r="O476" s="20" t="s">
        <v>3</v>
      </c>
      <c r="P476" s="27"/>
      <c r="Q476" s="27" t="s">
        <v>1055</v>
      </c>
    </row>
    <row r="477" spans="1:17" ht="13.5" customHeight="1">
      <c r="A477" s="28" t="s">
        <v>752</v>
      </c>
      <c r="B477" s="27" t="s">
        <v>1056</v>
      </c>
      <c r="C477" s="29">
        <v>9783764358730</v>
      </c>
      <c r="D477" s="30" t="s">
        <v>1047</v>
      </c>
      <c r="E477" s="31" t="s">
        <v>1048</v>
      </c>
      <c r="F477" s="32">
        <v>1999</v>
      </c>
      <c r="G477" s="33" t="s">
        <v>957</v>
      </c>
      <c r="H477" s="71">
        <v>101.16</v>
      </c>
      <c r="I477" s="26">
        <v>30</v>
      </c>
      <c r="J477" s="68">
        <v>70.81</v>
      </c>
      <c r="K477" s="86">
        <v>85.55</v>
      </c>
      <c r="L477" s="87" t="s">
        <v>958</v>
      </c>
      <c r="M477" s="27" t="s">
        <v>977</v>
      </c>
      <c r="N477" s="29"/>
      <c r="O477" s="20" t="s">
        <v>3</v>
      </c>
      <c r="P477" s="27"/>
      <c r="Q477" s="27"/>
    </row>
    <row r="478" spans="1:17" ht="13.5" customHeight="1">
      <c r="A478" s="28" t="s">
        <v>752</v>
      </c>
      <c r="B478" s="27" t="s">
        <v>1094</v>
      </c>
      <c r="C478" s="29">
        <v>9783540665533</v>
      </c>
      <c r="D478" s="30" t="s">
        <v>988</v>
      </c>
      <c r="E478" s="31" t="s">
        <v>989</v>
      </c>
      <c r="F478" s="32">
        <v>2005</v>
      </c>
      <c r="G478" s="33" t="s">
        <v>957</v>
      </c>
      <c r="H478" s="71">
        <v>288.75</v>
      </c>
      <c r="I478" s="26">
        <v>30</v>
      </c>
      <c r="J478" s="68">
        <v>202.13</v>
      </c>
      <c r="K478" s="86">
        <v>250</v>
      </c>
      <c r="L478" s="87" t="s">
        <v>958</v>
      </c>
      <c r="M478" s="27" t="s">
        <v>977</v>
      </c>
      <c r="N478" s="29"/>
      <c r="O478" s="20" t="s">
        <v>3</v>
      </c>
      <c r="P478" s="27"/>
      <c r="Q478" s="27"/>
    </row>
    <row r="479" spans="1:17" ht="13.5" customHeight="1">
      <c r="A479" s="19" t="s">
        <v>752</v>
      </c>
      <c r="B479" s="20" t="s">
        <v>1116</v>
      </c>
      <c r="C479" s="21">
        <v>9783540855132</v>
      </c>
      <c r="D479" s="22" t="s">
        <v>758</v>
      </c>
      <c r="E479" s="23" t="str">
        <f>HYPERLINK("http://www.springer.com/gp/book/9783540855132","Encyclopedia of Radiation Oncology")</f>
        <v>Encyclopedia of Radiation Oncology</v>
      </c>
      <c r="F479" s="24">
        <v>2013</v>
      </c>
      <c r="G479" s="25" t="s">
        <v>957</v>
      </c>
      <c r="H479" s="70">
        <v>456.46</v>
      </c>
      <c r="I479" s="26">
        <v>20</v>
      </c>
      <c r="J479" s="68">
        <v>365.17</v>
      </c>
      <c r="K479" s="84">
        <v>399</v>
      </c>
      <c r="L479" s="85" t="s">
        <v>958</v>
      </c>
      <c r="M479" s="27" t="s">
        <v>977</v>
      </c>
      <c r="N479" s="25"/>
      <c r="O479" s="20" t="s">
        <v>52</v>
      </c>
      <c r="P479" s="25"/>
      <c r="Q479" s="25"/>
    </row>
    <row r="480" spans="1:17" ht="13.5" customHeight="1">
      <c r="A480" s="28" t="s">
        <v>752</v>
      </c>
      <c r="B480" s="27" t="s">
        <v>1057</v>
      </c>
      <c r="C480" s="29">
        <v>9781848820883</v>
      </c>
      <c r="D480" s="30" t="s">
        <v>1008</v>
      </c>
      <c r="E480" s="31" t="s">
        <v>1009</v>
      </c>
      <c r="F480" s="32">
        <v>2010</v>
      </c>
      <c r="G480" s="33" t="s">
        <v>957</v>
      </c>
      <c r="H480" s="71">
        <v>63.2</v>
      </c>
      <c r="I480" s="26">
        <v>25</v>
      </c>
      <c r="J480" s="68">
        <v>47.4</v>
      </c>
      <c r="K480" s="86">
        <v>53.45</v>
      </c>
      <c r="L480" s="87" t="s">
        <v>958</v>
      </c>
      <c r="M480" s="27" t="s">
        <v>995</v>
      </c>
      <c r="N480" s="29"/>
      <c r="O480" s="20" t="s">
        <v>3</v>
      </c>
      <c r="P480" s="27"/>
      <c r="Q480" s="27"/>
    </row>
    <row r="481" spans="1:17" ht="13.5" customHeight="1">
      <c r="A481" s="19" t="s">
        <v>801</v>
      </c>
      <c r="B481" s="20" t="s">
        <v>1163</v>
      </c>
      <c r="C481" s="21">
        <v>9789400751309</v>
      </c>
      <c r="D481" s="22" t="s">
        <v>806</v>
      </c>
      <c r="E481" s="23" t="str">
        <f>HYPERLINK("http://www.springer.com/gp/book/9789400751309","On the (Im)Possibility of Business Ethics")</f>
        <v>On the (Im)Possibility of Business Ethics</v>
      </c>
      <c r="F481" s="24">
        <v>2013</v>
      </c>
      <c r="G481" s="25" t="s">
        <v>957</v>
      </c>
      <c r="H481" s="70">
        <v>132.81</v>
      </c>
      <c r="I481" s="26">
        <v>20</v>
      </c>
      <c r="J481" s="68">
        <v>106.25</v>
      </c>
      <c r="K481" s="84">
        <v>114.99</v>
      </c>
      <c r="L481" s="85" t="s">
        <v>958</v>
      </c>
      <c r="M481" s="27" t="s">
        <v>977</v>
      </c>
      <c r="N481" s="25"/>
      <c r="O481" s="20" t="s">
        <v>3</v>
      </c>
      <c r="P481" s="25" t="s">
        <v>807</v>
      </c>
      <c r="Q481" s="25" t="s">
        <v>808</v>
      </c>
    </row>
    <row r="482" spans="1:17" ht="13.5" customHeight="1">
      <c r="A482" s="19" t="s">
        <v>801</v>
      </c>
      <c r="B482" s="20" t="s">
        <v>1164</v>
      </c>
      <c r="C482" s="21">
        <v>9789400755697</v>
      </c>
      <c r="D482" s="22" t="s">
        <v>803</v>
      </c>
      <c r="E482" s="23" t="str">
        <f>HYPERLINK("http://www.springer.com/gp/book/9789400755697","Law, Order and Freedom")</f>
        <v>Law, Order and Freedom</v>
      </c>
      <c r="F482" s="24">
        <v>2012</v>
      </c>
      <c r="G482" s="25" t="s">
        <v>957</v>
      </c>
      <c r="H482" s="70">
        <v>59.07</v>
      </c>
      <c r="I482" s="26">
        <v>20</v>
      </c>
      <c r="J482" s="68">
        <v>47.26</v>
      </c>
      <c r="K482" s="84">
        <v>49.95</v>
      </c>
      <c r="L482" s="85" t="s">
        <v>958</v>
      </c>
      <c r="M482" s="27" t="s">
        <v>995</v>
      </c>
      <c r="N482" s="25"/>
      <c r="O482" s="20" t="s">
        <v>22</v>
      </c>
      <c r="P482" s="25" t="s">
        <v>804</v>
      </c>
      <c r="Q482" s="25" t="s">
        <v>805</v>
      </c>
    </row>
    <row r="483" spans="1:17" ht="13.5" customHeight="1">
      <c r="A483" s="19" t="s">
        <v>801</v>
      </c>
      <c r="B483" s="20" t="s">
        <v>1349</v>
      </c>
      <c r="C483" s="21">
        <v>9789400747883</v>
      </c>
      <c r="D483" s="22" t="s">
        <v>800</v>
      </c>
      <c r="E483" s="23" t="str">
        <f>HYPERLINK("http://www.springer.com/gp/book/9789400747883","Autonomy and the Self")</f>
        <v>Autonomy and the Self</v>
      </c>
      <c r="F483" s="24">
        <v>2013</v>
      </c>
      <c r="G483" s="25" t="s">
        <v>957</v>
      </c>
      <c r="H483" s="70">
        <v>173.24</v>
      </c>
      <c r="I483" s="26">
        <v>20</v>
      </c>
      <c r="J483" s="68">
        <v>138.59</v>
      </c>
      <c r="K483" s="84">
        <v>149.99</v>
      </c>
      <c r="L483" s="85" t="s">
        <v>958</v>
      </c>
      <c r="M483" s="27" t="s">
        <v>977</v>
      </c>
      <c r="N483" s="25"/>
      <c r="O483" s="20" t="s">
        <v>10</v>
      </c>
      <c r="P483" s="25"/>
      <c r="Q483" s="25" t="s">
        <v>802</v>
      </c>
    </row>
    <row r="484" spans="1:17" ht="13.5" customHeight="1">
      <c r="A484" s="19" t="s">
        <v>810</v>
      </c>
      <c r="B484" s="20" t="s">
        <v>1213</v>
      </c>
      <c r="C484" s="21">
        <v>9780387208022</v>
      </c>
      <c r="D484" s="22" t="s">
        <v>823</v>
      </c>
      <c r="E484" s="23" t="str">
        <f>HYPERLINK("http://www.springer.com/gp/book/9780387208022","Springer Handbook of Atomic, Molecular, and Optical Physics")</f>
        <v>Springer Handbook of Atomic, Molecular, and Optical Physics</v>
      </c>
      <c r="F484" s="24">
        <v>2006</v>
      </c>
      <c r="G484" s="25" t="s">
        <v>957</v>
      </c>
      <c r="H484" s="70">
        <v>287.6</v>
      </c>
      <c r="I484" s="26">
        <v>30</v>
      </c>
      <c r="J484" s="68">
        <v>201.32</v>
      </c>
      <c r="K484" s="84">
        <v>249</v>
      </c>
      <c r="L484" s="85" t="s">
        <v>958</v>
      </c>
      <c r="M484" s="27" t="s">
        <v>977</v>
      </c>
      <c r="N484" s="25" t="s">
        <v>1061</v>
      </c>
      <c r="O484" s="20" t="s">
        <v>8</v>
      </c>
      <c r="P484" s="25"/>
      <c r="Q484" s="25"/>
    </row>
    <row r="485" spans="1:17" ht="13.5" customHeight="1">
      <c r="A485" s="19" t="s">
        <v>810</v>
      </c>
      <c r="B485" s="20" t="s">
        <v>1209</v>
      </c>
      <c r="C485" s="21">
        <v>9783642252112</v>
      </c>
      <c r="D485" s="22" t="s">
        <v>825</v>
      </c>
      <c r="E485" s="23" t="str">
        <f>HYPERLINK("http://www.springer.com/gp/book/9783642252112","Biophysics")</f>
        <v>Biophysics</v>
      </c>
      <c r="F485" s="24">
        <v>2012</v>
      </c>
      <c r="G485" s="25" t="s">
        <v>957</v>
      </c>
      <c r="H485" s="70">
        <v>82.72</v>
      </c>
      <c r="I485" s="26">
        <v>20</v>
      </c>
      <c r="J485" s="68">
        <v>66.18</v>
      </c>
      <c r="K485" s="84">
        <v>69.95</v>
      </c>
      <c r="L485" s="85" t="s">
        <v>958</v>
      </c>
      <c r="M485" s="27" t="s">
        <v>977</v>
      </c>
      <c r="N485" s="25" t="s">
        <v>1061</v>
      </c>
      <c r="O485" s="20" t="s">
        <v>22</v>
      </c>
      <c r="P485" s="25" t="s">
        <v>257</v>
      </c>
      <c r="Q485" s="25"/>
    </row>
    <row r="486" spans="1:17" ht="13.5" customHeight="1">
      <c r="A486" s="19" t="s">
        <v>810</v>
      </c>
      <c r="B486" s="20" t="s">
        <v>1208</v>
      </c>
      <c r="C486" s="21">
        <v>9780387471068</v>
      </c>
      <c r="D486" s="22" t="s">
        <v>826</v>
      </c>
      <c r="E486" s="23" t="str">
        <f>HYPERLINK("http://www.springer.com/gp/book/9780387471068","Special and General Relativity")</f>
        <v>Special and General Relativity</v>
      </c>
      <c r="F486" s="24">
        <v>2007</v>
      </c>
      <c r="G486" s="25" t="s">
        <v>957</v>
      </c>
      <c r="H486" s="70">
        <v>88.63</v>
      </c>
      <c r="I486" s="26">
        <v>30</v>
      </c>
      <c r="J486" s="68">
        <v>62.04</v>
      </c>
      <c r="K486" s="84">
        <v>74.95</v>
      </c>
      <c r="L486" s="85" t="s">
        <v>958</v>
      </c>
      <c r="M486" s="27" t="s">
        <v>977</v>
      </c>
      <c r="N486" s="25"/>
      <c r="O486" s="20" t="s">
        <v>22</v>
      </c>
      <c r="P486" s="25" t="s">
        <v>827</v>
      </c>
      <c r="Q486" s="25" t="s">
        <v>295</v>
      </c>
    </row>
    <row r="487" spans="1:17" ht="13.5" customHeight="1">
      <c r="A487" s="19" t="s">
        <v>810</v>
      </c>
      <c r="B487" s="20" t="s">
        <v>1211</v>
      </c>
      <c r="C487" s="21">
        <v>9783642230257</v>
      </c>
      <c r="D487" s="22" t="s">
        <v>863</v>
      </c>
      <c r="E487" s="23" t="str">
        <f>HYPERLINK("http://www.springer.com/gp/book/9783642230257","Principles of Physics")</f>
        <v>Principles of Physics</v>
      </c>
      <c r="F487" s="24">
        <v>2013</v>
      </c>
      <c r="G487" s="25" t="s">
        <v>957</v>
      </c>
      <c r="H487" s="70">
        <v>106.37</v>
      </c>
      <c r="I487" s="26">
        <v>20</v>
      </c>
      <c r="J487" s="68">
        <v>85.1</v>
      </c>
      <c r="K487" s="84">
        <v>89.95</v>
      </c>
      <c r="L487" s="85" t="s">
        <v>958</v>
      </c>
      <c r="M487" s="27" t="s">
        <v>995</v>
      </c>
      <c r="N487" s="25"/>
      <c r="O487" s="20" t="s">
        <v>183</v>
      </c>
      <c r="P487" s="25" t="s">
        <v>864</v>
      </c>
      <c r="Q487" s="25" t="s">
        <v>865</v>
      </c>
    </row>
    <row r="488" spans="1:17" ht="13.5" customHeight="1">
      <c r="A488" s="19" t="s">
        <v>810</v>
      </c>
      <c r="B488" s="20" t="s">
        <v>1278</v>
      </c>
      <c r="C488" s="21">
        <v>9783540433828</v>
      </c>
      <c r="D488" s="22" t="s">
        <v>869</v>
      </c>
      <c r="E488" s="23" t="str">
        <f>HYPERLINK("http://www.springer.com/gp/book/9783540433828","Electronic Structure and Magnetism of Complex Materials")</f>
        <v>Electronic Structure and Magnetism of Complex Materials</v>
      </c>
      <c r="F488" s="24">
        <v>2003</v>
      </c>
      <c r="G488" s="25" t="s">
        <v>957</v>
      </c>
      <c r="H488" s="70">
        <v>184.79</v>
      </c>
      <c r="I488" s="26">
        <v>30</v>
      </c>
      <c r="J488" s="68">
        <v>129.35</v>
      </c>
      <c r="K488" s="84">
        <v>159.99</v>
      </c>
      <c r="L488" s="85" t="s">
        <v>958</v>
      </c>
      <c r="M488" s="27" t="s">
        <v>977</v>
      </c>
      <c r="N488" s="25"/>
      <c r="O488" s="20" t="s">
        <v>3</v>
      </c>
      <c r="P488" s="25"/>
      <c r="Q488" s="25" t="s">
        <v>870</v>
      </c>
    </row>
    <row r="489" spans="1:17" ht="13.5" customHeight="1">
      <c r="A489" s="19" t="s">
        <v>810</v>
      </c>
      <c r="B489" s="20" t="s">
        <v>1278</v>
      </c>
      <c r="C489" s="21">
        <v>9783540201083</v>
      </c>
      <c r="D489" s="22" t="s">
        <v>829</v>
      </c>
      <c r="E489" s="23" t="str">
        <f>HYPERLINK("http://www.springer.com/gp/book/9783540201083","Spin Dynamics in Confined Magnetic Structures III")</f>
        <v>Spin Dynamics in Confined Magnetic Structures III</v>
      </c>
      <c r="F489" s="24">
        <v>2006</v>
      </c>
      <c r="G489" s="25" t="s">
        <v>957</v>
      </c>
      <c r="H489" s="70">
        <v>317.63</v>
      </c>
      <c r="I489" s="26">
        <v>30</v>
      </c>
      <c r="J489" s="68">
        <v>222.34</v>
      </c>
      <c r="K489" s="84">
        <v>275</v>
      </c>
      <c r="L489" s="85" t="s">
        <v>958</v>
      </c>
      <c r="M489" s="27" t="s">
        <v>977</v>
      </c>
      <c r="N489" s="25"/>
      <c r="O489" s="20" t="s">
        <v>3</v>
      </c>
      <c r="P489" s="25"/>
      <c r="Q489" s="25" t="s">
        <v>830</v>
      </c>
    </row>
    <row r="490" spans="1:17" ht="13.5" customHeight="1">
      <c r="A490" s="19" t="s">
        <v>810</v>
      </c>
      <c r="B490" s="20" t="s">
        <v>1210</v>
      </c>
      <c r="C490" s="21">
        <v>9783540875604</v>
      </c>
      <c r="D490" s="22" t="s">
        <v>828</v>
      </c>
      <c r="E490" s="23" t="str">
        <f>HYPERLINK("http://www.springer.com/gp/book/9783540875604","Quantum Electrodynamics")</f>
        <v>Quantum Electrodynamics</v>
      </c>
      <c r="F490" s="24">
        <v>2009</v>
      </c>
      <c r="G490" s="25" t="s">
        <v>957</v>
      </c>
      <c r="H490" s="70">
        <v>88.63</v>
      </c>
      <c r="I490" s="26">
        <v>25</v>
      </c>
      <c r="J490" s="68">
        <v>66.47</v>
      </c>
      <c r="K490" s="84">
        <v>74.95</v>
      </c>
      <c r="L490" s="85" t="s">
        <v>958</v>
      </c>
      <c r="M490" s="27" t="s">
        <v>995</v>
      </c>
      <c r="N490" s="25" t="s">
        <v>1086</v>
      </c>
      <c r="O490" s="20" t="s">
        <v>22</v>
      </c>
      <c r="P490" s="25"/>
      <c r="Q490" s="25"/>
    </row>
    <row r="491" spans="1:17" ht="13.5" customHeight="1">
      <c r="A491" s="19" t="s">
        <v>810</v>
      </c>
      <c r="B491" s="20" t="s">
        <v>1214</v>
      </c>
      <c r="C491" s="21">
        <v>9783540630258</v>
      </c>
      <c r="D491" s="22" t="s">
        <v>833</v>
      </c>
      <c r="E491" s="23" t="str">
        <f>HYPERLINK("http://www.springer.com/gp/book/9783540630258","Organic Superconductors")</f>
        <v>Organic Superconductors</v>
      </c>
      <c r="F491" s="24">
        <v>1998</v>
      </c>
      <c r="G491" s="25" t="s">
        <v>957</v>
      </c>
      <c r="H491" s="70">
        <v>173.19</v>
      </c>
      <c r="I491" s="26">
        <v>30</v>
      </c>
      <c r="J491" s="68">
        <v>121.23</v>
      </c>
      <c r="K491" s="84">
        <v>149.95</v>
      </c>
      <c r="L491" s="85" t="s">
        <v>958</v>
      </c>
      <c r="M491" s="27" t="s">
        <v>995</v>
      </c>
      <c r="N491" s="25" t="s">
        <v>1061</v>
      </c>
      <c r="O491" s="20" t="s">
        <v>22</v>
      </c>
      <c r="P491" s="25"/>
      <c r="Q491" s="25" t="s">
        <v>834</v>
      </c>
    </row>
    <row r="492" spans="1:17" ht="13.5" customHeight="1">
      <c r="A492" s="19" t="s">
        <v>810</v>
      </c>
      <c r="B492" s="20" t="s">
        <v>1124</v>
      </c>
      <c r="C492" s="21">
        <v>9783540879077</v>
      </c>
      <c r="D492" s="22" t="s">
        <v>851</v>
      </c>
      <c r="E492" s="23" t="str">
        <f>HYPERLINK("http://www.springer.com/gp/book/9783540879077","Wave Physics")</f>
        <v>Wave Physics</v>
      </c>
      <c r="F492" s="24">
        <v>2009</v>
      </c>
      <c r="G492" s="25" t="s">
        <v>957</v>
      </c>
      <c r="H492" s="70">
        <v>59.07</v>
      </c>
      <c r="I492" s="26">
        <v>25</v>
      </c>
      <c r="J492" s="68">
        <v>44.3</v>
      </c>
      <c r="K492" s="84">
        <v>49.95</v>
      </c>
      <c r="L492" s="85" t="s">
        <v>958</v>
      </c>
      <c r="M492" s="27" t="s">
        <v>995</v>
      </c>
      <c r="N492" s="25" t="s">
        <v>1086</v>
      </c>
      <c r="O492" s="20" t="s">
        <v>22</v>
      </c>
      <c r="P492" s="25" t="s">
        <v>852</v>
      </c>
      <c r="Q492" s="25"/>
    </row>
    <row r="493" spans="1:17" ht="13.5" customHeight="1">
      <c r="A493" s="19" t="s">
        <v>810</v>
      </c>
      <c r="B493" s="20" t="s">
        <v>1276</v>
      </c>
      <c r="C493" s="21">
        <v>9781402076107</v>
      </c>
      <c r="D493" s="22" t="s">
        <v>814</v>
      </c>
      <c r="E493" s="23" t="str">
        <f>HYPERLINK("http://www.springer.com/gp/book/9781402076107","Photonic Crystal Fibres")</f>
        <v>Photonic Crystal Fibres</v>
      </c>
      <c r="F493" s="24">
        <v>2003</v>
      </c>
      <c r="G493" s="25" t="s">
        <v>957</v>
      </c>
      <c r="H493" s="70">
        <v>230.99</v>
      </c>
      <c r="I493" s="26">
        <v>30</v>
      </c>
      <c r="J493" s="68">
        <v>161.69</v>
      </c>
      <c r="K493" s="84">
        <v>199.99</v>
      </c>
      <c r="L493" s="85" t="s">
        <v>958</v>
      </c>
      <c r="M493" s="27" t="s">
        <v>977</v>
      </c>
      <c r="N493" s="25"/>
      <c r="O493" s="20" t="s">
        <v>3</v>
      </c>
      <c r="P493" s="25"/>
      <c r="Q493" s="25"/>
    </row>
    <row r="494" spans="1:17" ht="13.5" customHeight="1">
      <c r="A494" s="19" t="s">
        <v>810</v>
      </c>
      <c r="B494" s="20" t="s">
        <v>1276</v>
      </c>
      <c r="C494" s="21">
        <v>9783540289104</v>
      </c>
      <c r="D494" s="22" t="s">
        <v>855</v>
      </c>
      <c r="E494" s="23" t="str">
        <f>HYPERLINK("http://www.springer.com/gp/book/9783540289104","Optical Interconnects")</f>
        <v>Optical Interconnects</v>
      </c>
      <c r="F494" s="24">
        <v>2006</v>
      </c>
      <c r="G494" s="25" t="s">
        <v>957</v>
      </c>
      <c r="H494" s="70">
        <v>225.17</v>
      </c>
      <c r="I494" s="26">
        <v>30</v>
      </c>
      <c r="J494" s="68">
        <v>157.62</v>
      </c>
      <c r="K494" s="84">
        <v>194.95</v>
      </c>
      <c r="L494" s="85" t="s">
        <v>958</v>
      </c>
      <c r="M494" s="27" t="s">
        <v>977</v>
      </c>
      <c r="N494" s="25"/>
      <c r="O494" s="20" t="s">
        <v>3</v>
      </c>
      <c r="P494" s="25" t="s">
        <v>856</v>
      </c>
      <c r="Q494" s="25" t="s">
        <v>857</v>
      </c>
    </row>
    <row r="495" spans="1:17" ht="13.5" customHeight="1">
      <c r="A495" s="19" t="s">
        <v>810</v>
      </c>
      <c r="B495" s="20" t="s">
        <v>1276</v>
      </c>
      <c r="C495" s="21">
        <v>9783540687863</v>
      </c>
      <c r="D495" s="22" t="s">
        <v>860</v>
      </c>
      <c r="E495" s="23" t="str">
        <f>HYPERLINK("http://www.springer.com/gp/book/9783540687863","Integrated Ring Resonators")</f>
        <v>Integrated Ring Resonators</v>
      </c>
      <c r="F495" s="24">
        <v>2007</v>
      </c>
      <c r="G495" s="25" t="s">
        <v>957</v>
      </c>
      <c r="H495" s="70">
        <v>184.74</v>
      </c>
      <c r="I495" s="26">
        <v>30</v>
      </c>
      <c r="J495" s="68">
        <v>129.32</v>
      </c>
      <c r="K495" s="84">
        <v>159.95</v>
      </c>
      <c r="L495" s="85" t="s">
        <v>958</v>
      </c>
      <c r="M495" s="27" t="s">
        <v>977</v>
      </c>
      <c r="N495" s="25"/>
      <c r="O495" s="20" t="s">
        <v>3</v>
      </c>
      <c r="P495" s="25" t="s">
        <v>861</v>
      </c>
      <c r="Q495" s="25" t="s">
        <v>862</v>
      </c>
    </row>
    <row r="496" spans="1:17" ht="13.5" customHeight="1">
      <c r="A496" s="19" t="s">
        <v>810</v>
      </c>
      <c r="B496" s="20" t="s">
        <v>1276</v>
      </c>
      <c r="C496" s="21">
        <v>9780387897745</v>
      </c>
      <c r="D496" s="22" t="s">
        <v>831</v>
      </c>
      <c r="E496" s="23" t="str">
        <f>HYPERLINK("http://www.springer.com/gp/book/9780387897745","Integrated Optics")</f>
        <v>Integrated Optics</v>
      </c>
      <c r="F496" s="24">
        <v>2009</v>
      </c>
      <c r="G496" s="25" t="s">
        <v>957</v>
      </c>
      <c r="H496" s="70">
        <v>94.54</v>
      </c>
      <c r="I496" s="26">
        <v>25</v>
      </c>
      <c r="J496" s="68">
        <v>70.91</v>
      </c>
      <c r="K496" s="84">
        <v>79.95</v>
      </c>
      <c r="L496" s="85" t="s">
        <v>958</v>
      </c>
      <c r="M496" s="27" t="s">
        <v>977</v>
      </c>
      <c r="N496" s="25" t="s">
        <v>1110</v>
      </c>
      <c r="O496" s="20" t="s">
        <v>22</v>
      </c>
      <c r="P496" s="25" t="s">
        <v>832</v>
      </c>
      <c r="Q496" s="25"/>
    </row>
    <row r="497" spans="1:17" ht="13.5" customHeight="1">
      <c r="A497" s="19" t="s">
        <v>810</v>
      </c>
      <c r="B497" s="20" t="s">
        <v>1284</v>
      </c>
      <c r="C497" s="21">
        <v>9781461453628</v>
      </c>
      <c r="D497" s="22" t="s">
        <v>849</v>
      </c>
      <c r="E497" s="23" t="str">
        <f>HYPERLINK("http://www.springer.com/gp/book/9781461453628","The Story of Helium and the Birth of Astrophysics")</f>
        <v>The Story of Helium and the Birth of Astrophysics</v>
      </c>
      <c r="F497" s="24">
        <v>2013</v>
      </c>
      <c r="G497" s="25" t="s">
        <v>957</v>
      </c>
      <c r="H497" s="70">
        <v>47.24</v>
      </c>
      <c r="I497" s="26">
        <v>20</v>
      </c>
      <c r="J497" s="68">
        <v>37.79</v>
      </c>
      <c r="K497" s="84">
        <v>39.95</v>
      </c>
      <c r="L497" s="85" t="s">
        <v>958</v>
      </c>
      <c r="M497" s="27" t="s">
        <v>995</v>
      </c>
      <c r="N497" s="25"/>
      <c r="O497" s="20" t="s">
        <v>344</v>
      </c>
      <c r="P497" s="25"/>
      <c r="Q497" s="25" t="s">
        <v>850</v>
      </c>
    </row>
    <row r="498" spans="1:17" s="6" customFormat="1" ht="13.5" customHeight="1">
      <c r="A498" s="19" t="s">
        <v>810</v>
      </c>
      <c r="B498" s="20" t="s">
        <v>1283</v>
      </c>
      <c r="C498" s="21">
        <v>9781402084300</v>
      </c>
      <c r="D498" s="22" t="s">
        <v>809</v>
      </c>
      <c r="E498" s="23" t="str">
        <f>HYPERLINK("http://www.springer.com/gp/book/9781402084300","The Cambridge N-Body Lectures")</f>
        <v>The Cambridge N-Body Lectures</v>
      </c>
      <c r="F498" s="24">
        <v>2008</v>
      </c>
      <c r="G498" s="25" t="s">
        <v>957</v>
      </c>
      <c r="H498" s="70">
        <v>121.26</v>
      </c>
      <c r="I498" s="26">
        <v>25</v>
      </c>
      <c r="J498" s="68">
        <v>90.95</v>
      </c>
      <c r="K498" s="84">
        <v>104.99</v>
      </c>
      <c r="L498" s="85" t="s">
        <v>958</v>
      </c>
      <c r="M498" s="27" t="s">
        <v>977</v>
      </c>
      <c r="N498" s="25"/>
      <c r="O498" s="20" t="s">
        <v>3</v>
      </c>
      <c r="P498" s="25"/>
      <c r="Q498" s="25" t="s">
        <v>811</v>
      </c>
    </row>
    <row r="499" spans="1:17" s="6" customFormat="1" ht="13.5" customHeight="1">
      <c r="A499" s="19" t="s">
        <v>810</v>
      </c>
      <c r="B499" s="20" t="s">
        <v>1281</v>
      </c>
      <c r="C499" s="21">
        <v>9780387942865</v>
      </c>
      <c r="D499" s="22" t="s">
        <v>812</v>
      </c>
      <c r="E499" s="23" t="str">
        <f>HYPERLINK("http://www.springer.com/gp/book/9780387942865","Interacting Electrons and Quantum Magnetism")</f>
        <v>Interacting Electrons and Quantum Magnetism</v>
      </c>
      <c r="F499" s="24">
        <v>1994</v>
      </c>
      <c r="G499" s="25" t="s">
        <v>957</v>
      </c>
      <c r="H499" s="70">
        <v>79.22</v>
      </c>
      <c r="I499" s="26">
        <v>30</v>
      </c>
      <c r="J499" s="68">
        <v>55.45</v>
      </c>
      <c r="K499" s="84">
        <v>66.99</v>
      </c>
      <c r="L499" s="85" t="s">
        <v>958</v>
      </c>
      <c r="M499" s="27" t="s">
        <v>977</v>
      </c>
      <c r="N499" s="25"/>
      <c r="O499" s="20" t="s">
        <v>22</v>
      </c>
      <c r="P499" s="25"/>
      <c r="Q499" s="25" t="s">
        <v>813</v>
      </c>
    </row>
    <row r="500" spans="1:17" s="6" customFormat="1" ht="13.5" customHeight="1">
      <c r="A500" s="19" t="s">
        <v>810</v>
      </c>
      <c r="B500" s="20" t="s">
        <v>1281</v>
      </c>
      <c r="C500" s="21">
        <v>9783540443766</v>
      </c>
      <c r="D500" s="22" t="s">
        <v>845</v>
      </c>
      <c r="E500" s="23" t="str">
        <f>HYPERLINK("http://www.springer.com/gp/book/9783540443766","Springer Handbook of Condensed Matter and Materials Data")</f>
        <v>Springer Handbook of Condensed Matter and Materials Data</v>
      </c>
      <c r="F500" s="24">
        <v>2005</v>
      </c>
      <c r="G500" s="25" t="s">
        <v>957</v>
      </c>
      <c r="H500" s="70">
        <v>287.6</v>
      </c>
      <c r="I500" s="26">
        <v>30</v>
      </c>
      <c r="J500" s="68">
        <v>201.32</v>
      </c>
      <c r="K500" s="84">
        <v>249</v>
      </c>
      <c r="L500" s="85" t="s">
        <v>958</v>
      </c>
      <c r="M500" s="27" t="s">
        <v>977</v>
      </c>
      <c r="N500" s="25"/>
      <c r="O500" s="20" t="s">
        <v>8</v>
      </c>
      <c r="P500" s="25"/>
      <c r="Q500" s="25"/>
    </row>
    <row r="501" spans="1:17" s="6" customFormat="1" ht="13.5" customHeight="1">
      <c r="A501" s="19" t="s">
        <v>810</v>
      </c>
      <c r="B501" s="20" t="s">
        <v>1281</v>
      </c>
      <c r="C501" s="21">
        <v>9783540707264</v>
      </c>
      <c r="D501" s="22" t="s">
        <v>817</v>
      </c>
      <c r="E501" s="23" t="str">
        <f>HYPERLINK("http://www.springer.com/gp/book/9783540707264","Topics and Methods in Condensed Matter Theory")</f>
        <v>Topics and Methods in Condensed Matter Theory</v>
      </c>
      <c r="F501" s="24">
        <v>2007</v>
      </c>
      <c r="G501" s="25" t="s">
        <v>957</v>
      </c>
      <c r="H501" s="70">
        <v>115.44</v>
      </c>
      <c r="I501" s="26">
        <v>30</v>
      </c>
      <c r="J501" s="68">
        <v>80.81</v>
      </c>
      <c r="K501" s="84">
        <v>99.95</v>
      </c>
      <c r="L501" s="85" t="s">
        <v>958</v>
      </c>
      <c r="M501" s="27" t="s">
        <v>977</v>
      </c>
      <c r="N501" s="25"/>
      <c r="O501" s="20" t="s">
        <v>22</v>
      </c>
      <c r="P501" s="25" t="s">
        <v>818</v>
      </c>
      <c r="Q501" s="25"/>
    </row>
    <row r="502" spans="1:17" ht="13.5" customHeight="1">
      <c r="A502" s="19" t="s">
        <v>810</v>
      </c>
      <c r="B502" s="20" t="s">
        <v>1281</v>
      </c>
      <c r="C502" s="21">
        <v>9783540719304</v>
      </c>
      <c r="D502" s="22" t="s">
        <v>853</v>
      </c>
      <c r="E502" s="23" t="str">
        <f>HYPERLINK("http://www.springer.com/gp/book/9783540719304","Fundamentals of Many-body Physics")</f>
        <v>Fundamentals of Many-body Physics</v>
      </c>
      <c r="F502" s="24">
        <v>2009</v>
      </c>
      <c r="G502" s="25" t="s">
        <v>957</v>
      </c>
      <c r="H502" s="70">
        <v>94.54</v>
      </c>
      <c r="I502" s="26">
        <v>25</v>
      </c>
      <c r="J502" s="68">
        <v>70.91</v>
      </c>
      <c r="K502" s="84">
        <v>79.95</v>
      </c>
      <c r="L502" s="85" t="s">
        <v>958</v>
      </c>
      <c r="M502" s="27" t="s">
        <v>977</v>
      </c>
      <c r="N502" s="25"/>
      <c r="O502" s="20" t="s">
        <v>22</v>
      </c>
      <c r="P502" s="25" t="s">
        <v>854</v>
      </c>
      <c r="Q502" s="25"/>
    </row>
    <row r="503" spans="1:17" s="6" customFormat="1" ht="13.5" customHeight="1">
      <c r="A503" s="19" t="s">
        <v>810</v>
      </c>
      <c r="B503" s="20" t="s">
        <v>1277</v>
      </c>
      <c r="C503" s="21">
        <v>9783642283581</v>
      </c>
      <c r="D503" s="22" t="s">
        <v>843</v>
      </c>
      <c r="E503" s="23" t="str">
        <f>HYPERLINK("http://www.springer.com/gp/book/9783642283581","Laser-Assisted Fabrication of Materials")</f>
        <v>Laser-Assisted Fabrication of Materials</v>
      </c>
      <c r="F503" s="24">
        <v>2013</v>
      </c>
      <c r="G503" s="25" t="s">
        <v>957</v>
      </c>
      <c r="H503" s="70">
        <v>155.91</v>
      </c>
      <c r="I503" s="26">
        <v>20</v>
      </c>
      <c r="J503" s="68">
        <v>124.73</v>
      </c>
      <c r="K503" s="84">
        <v>134.99</v>
      </c>
      <c r="L503" s="85" t="s">
        <v>958</v>
      </c>
      <c r="M503" s="27" t="s">
        <v>977</v>
      </c>
      <c r="N503" s="25"/>
      <c r="O503" s="20" t="s">
        <v>3</v>
      </c>
      <c r="P503" s="25"/>
      <c r="Q503" s="25" t="s">
        <v>844</v>
      </c>
    </row>
    <row r="504" spans="1:17" ht="13.5" customHeight="1">
      <c r="A504" s="28" t="s">
        <v>810</v>
      </c>
      <c r="B504" s="27" t="s">
        <v>1099</v>
      </c>
      <c r="C504" s="29">
        <v>9783540779636</v>
      </c>
      <c r="D504" s="30" t="s">
        <v>1039</v>
      </c>
      <c r="E504" s="31" t="s">
        <v>1040</v>
      </c>
      <c r="F504" s="32">
        <v>2008</v>
      </c>
      <c r="G504" s="33" t="s">
        <v>957</v>
      </c>
      <c r="H504" s="71">
        <v>247.16</v>
      </c>
      <c r="I504" s="26">
        <v>25</v>
      </c>
      <c r="J504" s="68">
        <v>185.37</v>
      </c>
      <c r="K504" s="86">
        <v>213.99</v>
      </c>
      <c r="L504" s="87" t="s">
        <v>958</v>
      </c>
      <c r="M504" s="27" t="s">
        <v>977</v>
      </c>
      <c r="N504" s="29"/>
      <c r="O504" s="20" t="s">
        <v>3</v>
      </c>
      <c r="P504" s="27"/>
      <c r="Q504" s="27" t="s">
        <v>1098</v>
      </c>
    </row>
    <row r="505" spans="1:17" s="6" customFormat="1" ht="13.5" customHeight="1">
      <c r="A505" s="19" t="s">
        <v>810</v>
      </c>
      <c r="B505" s="20" t="s">
        <v>1286</v>
      </c>
      <c r="C505" s="21">
        <v>9783540253020</v>
      </c>
      <c r="D505" s="22" t="s">
        <v>872</v>
      </c>
      <c r="E505" s="23" t="str">
        <f>HYPERLINK("http://www.springer.com/gp/book/9783540253020","Elements for Physics")</f>
        <v>Elements for Physics</v>
      </c>
      <c r="F505" s="24">
        <v>2006</v>
      </c>
      <c r="G505" s="25" t="s">
        <v>957</v>
      </c>
      <c r="H505" s="70">
        <v>109.67</v>
      </c>
      <c r="I505" s="26">
        <v>30</v>
      </c>
      <c r="J505" s="68">
        <v>76.77</v>
      </c>
      <c r="K505" s="84">
        <v>94.95</v>
      </c>
      <c r="L505" s="85" t="s">
        <v>958</v>
      </c>
      <c r="M505" s="27" t="s">
        <v>977</v>
      </c>
      <c r="N505" s="25"/>
      <c r="O505" s="20" t="s">
        <v>22</v>
      </c>
      <c r="P505" s="25" t="s">
        <v>873</v>
      </c>
      <c r="Q505" s="25"/>
    </row>
    <row r="506" spans="1:17" s="6" customFormat="1" ht="13.5" customHeight="1">
      <c r="A506" s="19" t="s">
        <v>810</v>
      </c>
      <c r="B506" s="20" t="s">
        <v>1123</v>
      </c>
      <c r="C506" s="21">
        <v>9783540665007</v>
      </c>
      <c r="D506" s="22" t="s">
        <v>824</v>
      </c>
      <c r="E506" s="23" t="str">
        <f>HYPERLINK("http://www.springer.com/gp/book/9783540665007","Non-Smooth Thermomechanics")</f>
        <v>Non-Smooth Thermomechanics</v>
      </c>
      <c r="F506" s="24">
        <v>2002</v>
      </c>
      <c r="G506" s="25" t="s">
        <v>957</v>
      </c>
      <c r="H506" s="70">
        <v>161.64</v>
      </c>
      <c r="I506" s="26">
        <v>30</v>
      </c>
      <c r="J506" s="68">
        <v>113.15</v>
      </c>
      <c r="K506" s="84">
        <v>139.95</v>
      </c>
      <c r="L506" s="85" t="s">
        <v>958</v>
      </c>
      <c r="M506" s="27" t="s">
        <v>977</v>
      </c>
      <c r="N506" s="25"/>
      <c r="O506" s="20" t="s">
        <v>3</v>
      </c>
      <c r="P506" s="25"/>
      <c r="Q506" s="25"/>
    </row>
    <row r="507" spans="1:17" ht="13.5" customHeight="1">
      <c r="A507" s="19" t="s">
        <v>810</v>
      </c>
      <c r="B507" s="20" t="s">
        <v>1123</v>
      </c>
      <c r="C507" s="21">
        <v>9783540736158</v>
      </c>
      <c r="D507" s="22" t="s">
        <v>871</v>
      </c>
      <c r="E507" s="23" t="str">
        <f>HYPERLINK("http://www.springer.com/gp/book/9783540736158","Classical Mechanics")</f>
        <v>Classical Mechanics</v>
      </c>
      <c r="F507" s="24">
        <v>2009</v>
      </c>
      <c r="G507" s="25" t="s">
        <v>957</v>
      </c>
      <c r="H507" s="70">
        <v>82.72</v>
      </c>
      <c r="I507" s="26">
        <v>25</v>
      </c>
      <c r="J507" s="68">
        <v>62.04</v>
      </c>
      <c r="K507" s="84">
        <v>69.95</v>
      </c>
      <c r="L507" s="85" t="s">
        <v>958</v>
      </c>
      <c r="M507" s="27" t="s">
        <v>977</v>
      </c>
      <c r="N507" s="25"/>
      <c r="O507" s="20" t="s">
        <v>22</v>
      </c>
      <c r="P507" s="25" t="s">
        <v>257</v>
      </c>
      <c r="Q507" s="25"/>
    </row>
    <row r="508" spans="1:17" ht="13.5" customHeight="1">
      <c r="A508" s="19" t="s">
        <v>810</v>
      </c>
      <c r="B508" s="20" t="s">
        <v>1123</v>
      </c>
      <c r="C508" s="21">
        <v>9780387958699</v>
      </c>
      <c r="D508" s="22" t="s">
        <v>858</v>
      </c>
      <c r="E508" s="23" t="str">
        <f>HYPERLINK("http://www.springer.com/gp/book/9780387958699","Fluid Dynamics")</f>
        <v>Fluid Dynamics</v>
      </c>
      <c r="F508" s="24">
        <v>2009</v>
      </c>
      <c r="G508" s="25" t="s">
        <v>957</v>
      </c>
      <c r="H508" s="70">
        <v>115.44</v>
      </c>
      <c r="I508" s="26">
        <v>25</v>
      </c>
      <c r="J508" s="68">
        <v>86.58</v>
      </c>
      <c r="K508" s="84">
        <v>99.95</v>
      </c>
      <c r="L508" s="85" t="s">
        <v>958</v>
      </c>
      <c r="M508" s="27" t="s">
        <v>977</v>
      </c>
      <c r="N508" s="25" t="s">
        <v>1061</v>
      </c>
      <c r="O508" s="20" t="s">
        <v>22</v>
      </c>
      <c r="P508" s="25" t="s">
        <v>859</v>
      </c>
      <c r="Q508" s="25"/>
    </row>
    <row r="509" spans="1:17" ht="13.5" customHeight="1">
      <c r="A509" s="19" t="s">
        <v>810</v>
      </c>
      <c r="B509" s="20" t="s">
        <v>1274</v>
      </c>
      <c r="C509" s="21">
        <v>9783319071541</v>
      </c>
      <c r="D509" s="22" t="s">
        <v>874</v>
      </c>
      <c r="E509" s="23" t="str">
        <f>HYPERLINK("http://www.springer.com/gp/book/9783319071541","Recurrence Quantification Analysis")</f>
        <v>Recurrence Quantification Analysis</v>
      </c>
      <c r="F509" s="24">
        <v>2015</v>
      </c>
      <c r="G509" s="25" t="s">
        <v>957</v>
      </c>
      <c r="H509" s="70">
        <v>109.71</v>
      </c>
      <c r="I509" s="26">
        <v>20</v>
      </c>
      <c r="J509" s="68">
        <v>87.77</v>
      </c>
      <c r="K509" s="84">
        <v>94.99</v>
      </c>
      <c r="L509" s="85" t="s">
        <v>958</v>
      </c>
      <c r="M509" s="27" t="s">
        <v>977</v>
      </c>
      <c r="N509" s="25"/>
      <c r="O509" s="20" t="s">
        <v>3</v>
      </c>
      <c r="P509" s="25" t="s">
        <v>875</v>
      </c>
      <c r="Q509" s="25" t="s">
        <v>837</v>
      </c>
    </row>
    <row r="510" spans="1:17" ht="13.5" customHeight="1">
      <c r="A510" s="19" t="s">
        <v>810</v>
      </c>
      <c r="B510" s="20" t="s">
        <v>1282</v>
      </c>
      <c r="C510" s="21">
        <v>9783642043321</v>
      </c>
      <c r="D510" s="22" t="s">
        <v>838</v>
      </c>
      <c r="E510" s="23" t="str">
        <f>HYPERLINK("http://www.springer.com/gp/book/9783642043321","1000 Solved Problems in Modern Physics")</f>
        <v>1000 Solved Problems in Modern Physics</v>
      </c>
      <c r="F510" s="24">
        <v>2010</v>
      </c>
      <c r="G510" s="25" t="s">
        <v>957</v>
      </c>
      <c r="H510" s="70">
        <v>161.64</v>
      </c>
      <c r="I510" s="26">
        <v>25</v>
      </c>
      <c r="J510" s="68">
        <v>121.23</v>
      </c>
      <c r="K510" s="84">
        <v>139.95</v>
      </c>
      <c r="L510" s="85" t="s">
        <v>958</v>
      </c>
      <c r="M510" s="27" t="s">
        <v>977</v>
      </c>
      <c r="N510" s="25"/>
      <c r="O510" s="20" t="s">
        <v>3</v>
      </c>
      <c r="P510" s="25"/>
      <c r="Q510" s="25"/>
    </row>
    <row r="511" spans="1:17" ht="13.5" customHeight="1">
      <c r="A511" s="19" t="s">
        <v>810</v>
      </c>
      <c r="B511" s="20" t="s">
        <v>1287</v>
      </c>
      <c r="C511" s="21">
        <v>9783540308324</v>
      </c>
      <c r="D511" s="22" t="s">
        <v>842</v>
      </c>
      <c r="E511" s="23" t="str">
        <f>HYPERLINK("http://www.springer.com/gp/book/9783540308324","A New Foundation of Physical Theories")</f>
        <v>A New Foundation of Physical Theories</v>
      </c>
      <c r="F511" s="24">
        <v>2006</v>
      </c>
      <c r="G511" s="25" t="s">
        <v>957</v>
      </c>
      <c r="H511" s="70">
        <v>173.24</v>
      </c>
      <c r="I511" s="26">
        <v>30</v>
      </c>
      <c r="J511" s="68">
        <v>121.27</v>
      </c>
      <c r="K511" s="84">
        <v>149.99</v>
      </c>
      <c r="L511" s="85" t="s">
        <v>958</v>
      </c>
      <c r="M511" s="27" t="s">
        <v>977</v>
      </c>
      <c r="N511" s="25"/>
      <c r="O511" s="20" t="s">
        <v>3</v>
      </c>
      <c r="P511" s="25"/>
      <c r="Q511" s="25"/>
    </row>
    <row r="512" spans="1:17" ht="13.5" customHeight="1">
      <c r="A512" s="19" t="s">
        <v>810</v>
      </c>
      <c r="B512" s="20" t="s">
        <v>1285</v>
      </c>
      <c r="C512" s="21">
        <v>9780387776514</v>
      </c>
      <c r="D512" s="22" t="s">
        <v>816</v>
      </c>
      <c r="E512" s="23" t="str">
        <f>HYPERLINK("http://www.springer.com/gp/book/9780387776514","Foundations of Quantum Physics")</f>
        <v>Foundations of Quantum Physics</v>
      </c>
      <c r="F512" s="24">
        <v>2008</v>
      </c>
      <c r="G512" s="25" t="s">
        <v>957</v>
      </c>
      <c r="H512" s="70">
        <v>128.15</v>
      </c>
      <c r="I512" s="26">
        <v>25</v>
      </c>
      <c r="J512" s="68">
        <v>96.11</v>
      </c>
      <c r="K512" s="84">
        <v>110.95</v>
      </c>
      <c r="L512" s="85" t="s">
        <v>958</v>
      </c>
      <c r="M512" s="27" t="s">
        <v>977</v>
      </c>
      <c r="N512" s="25"/>
      <c r="O512" s="20" t="s">
        <v>22</v>
      </c>
      <c r="P512" s="25"/>
      <c r="Q512" s="25"/>
    </row>
    <row r="513" spans="1:17" ht="13.5" customHeight="1">
      <c r="A513" s="19" t="s">
        <v>810</v>
      </c>
      <c r="B513" s="20" t="s">
        <v>1285</v>
      </c>
      <c r="C513" s="21">
        <v>9783319216768</v>
      </c>
      <c r="D513" s="22" t="s">
        <v>820</v>
      </c>
      <c r="E513" s="23" t="str">
        <f>HYPERLINK("http://www.springer.com/gp/book/9783319216768","Classical and Quantum Dynamics")</f>
        <v>Classical and Quantum Dynamics</v>
      </c>
      <c r="F513" s="24">
        <v>2016</v>
      </c>
      <c r="G513" s="25" t="s">
        <v>957</v>
      </c>
      <c r="H513" s="70">
        <v>70.94</v>
      </c>
      <c r="I513" s="26">
        <v>20</v>
      </c>
      <c r="J513" s="68">
        <v>56.75</v>
      </c>
      <c r="K513" s="84">
        <v>59.99</v>
      </c>
      <c r="L513" s="85" t="s">
        <v>958</v>
      </c>
      <c r="M513" s="27" t="s">
        <v>977</v>
      </c>
      <c r="N513" s="25" t="s">
        <v>1086</v>
      </c>
      <c r="O513" s="20" t="s">
        <v>22</v>
      </c>
      <c r="P513" s="25" t="s">
        <v>821</v>
      </c>
      <c r="Q513" s="25" t="s">
        <v>822</v>
      </c>
    </row>
    <row r="514" spans="1:17" ht="13.5" customHeight="1">
      <c r="A514" s="19" t="s">
        <v>810</v>
      </c>
      <c r="B514" s="20" t="s">
        <v>1125</v>
      </c>
      <c r="C514" s="21">
        <v>9783642024863</v>
      </c>
      <c r="D514" s="22" t="s">
        <v>839</v>
      </c>
      <c r="E514" s="23" t="str">
        <f>HYPERLINK("http://www.springer.com/gp/book/9783642024863","Renormalization Group Theory")</f>
        <v>Renormalization Group Theory</v>
      </c>
      <c r="F514" s="24">
        <v>2010</v>
      </c>
      <c r="G514" s="25" t="s">
        <v>957</v>
      </c>
      <c r="H514" s="70">
        <v>207.89</v>
      </c>
      <c r="I514" s="26">
        <v>25</v>
      </c>
      <c r="J514" s="68">
        <v>155.92</v>
      </c>
      <c r="K514" s="84">
        <v>179.99</v>
      </c>
      <c r="L514" s="85" t="s">
        <v>958</v>
      </c>
      <c r="M514" s="27" t="s">
        <v>977</v>
      </c>
      <c r="N514" s="25"/>
      <c r="O514" s="20" t="s">
        <v>3</v>
      </c>
      <c r="P514" s="25" t="s">
        <v>840</v>
      </c>
      <c r="Q514" s="25" t="s">
        <v>841</v>
      </c>
    </row>
    <row r="515" spans="1:17" s="6" customFormat="1" ht="13.5" customHeight="1">
      <c r="A515" s="19" t="s">
        <v>810</v>
      </c>
      <c r="B515" s="20" t="s">
        <v>1279</v>
      </c>
      <c r="C515" s="21">
        <v>9781402044649</v>
      </c>
      <c r="D515" s="22" t="s">
        <v>815</v>
      </c>
      <c r="E515" s="23" t="str">
        <f>HYPERLINK("http://www.springer.com/gp/book/9781402044649","Soft-Matter Characterization")</f>
        <v>Soft-Matter Characterization</v>
      </c>
      <c r="F515" s="24">
        <v>2008</v>
      </c>
      <c r="G515" s="25" t="s">
        <v>957</v>
      </c>
      <c r="H515" s="70">
        <v>984.58</v>
      </c>
      <c r="I515" s="26">
        <v>25</v>
      </c>
      <c r="J515" s="68">
        <v>738.44</v>
      </c>
      <c r="K515" s="84">
        <v>869</v>
      </c>
      <c r="L515" s="85" t="s">
        <v>958</v>
      </c>
      <c r="M515" s="27" t="s">
        <v>977</v>
      </c>
      <c r="N515" s="25"/>
      <c r="O515" s="20" t="s">
        <v>8</v>
      </c>
      <c r="P515" s="25" t="s">
        <v>1361</v>
      </c>
      <c r="Q515" s="25"/>
    </row>
    <row r="516" spans="1:17" ht="13.5" customHeight="1">
      <c r="A516" s="19" t="s">
        <v>810</v>
      </c>
      <c r="B516" s="20" t="s">
        <v>1280</v>
      </c>
      <c r="C516" s="21">
        <v>9783540741824</v>
      </c>
      <c r="D516" s="22" t="s">
        <v>819</v>
      </c>
      <c r="E516" s="23" t="str">
        <f>HYPERLINK("http://www.springer.com/gp/book/9783540741824","Springer Handbook of Crystal Growth")</f>
        <v>Springer Handbook of Crystal Growth</v>
      </c>
      <c r="F516" s="24">
        <v>2010</v>
      </c>
      <c r="G516" s="25" t="s">
        <v>957</v>
      </c>
      <c r="H516" s="70">
        <v>399.26</v>
      </c>
      <c r="I516" s="26">
        <v>25</v>
      </c>
      <c r="J516" s="68">
        <v>299.45</v>
      </c>
      <c r="K516" s="84">
        <v>349</v>
      </c>
      <c r="L516" s="85" t="s">
        <v>958</v>
      </c>
      <c r="M516" s="27" t="s">
        <v>977</v>
      </c>
      <c r="N516" s="25"/>
      <c r="O516" s="20" t="s">
        <v>8</v>
      </c>
      <c r="P516" s="25"/>
      <c r="Q516" s="25"/>
    </row>
    <row r="517" spans="1:17" ht="13.5" customHeight="1">
      <c r="A517" s="28" t="s">
        <v>810</v>
      </c>
      <c r="B517" s="27" t="s">
        <v>1064</v>
      </c>
      <c r="C517" s="29">
        <v>9780387304465</v>
      </c>
      <c r="D517" s="30" t="s">
        <v>998</v>
      </c>
      <c r="E517" s="31" t="s">
        <v>999</v>
      </c>
      <c r="F517" s="32">
        <v>2007</v>
      </c>
      <c r="G517" s="33" t="s">
        <v>957</v>
      </c>
      <c r="H517" s="71">
        <v>247.11</v>
      </c>
      <c r="I517" s="26">
        <v>30</v>
      </c>
      <c r="J517" s="68">
        <v>172.98</v>
      </c>
      <c r="K517" s="86">
        <v>213.95</v>
      </c>
      <c r="L517" s="87" t="s">
        <v>958</v>
      </c>
      <c r="M517" s="27" t="s">
        <v>1063</v>
      </c>
      <c r="N517" s="29"/>
      <c r="O517" s="20" t="s">
        <v>3</v>
      </c>
      <c r="P517" s="27"/>
      <c r="Q517" s="27"/>
    </row>
    <row r="518" spans="1:17" ht="13.5" customHeight="1">
      <c r="A518" s="19" t="s">
        <v>810</v>
      </c>
      <c r="B518" s="20" t="s">
        <v>1275</v>
      </c>
      <c r="C518" s="21">
        <v>9783540793564</v>
      </c>
      <c r="D518" s="22" t="s">
        <v>835</v>
      </c>
      <c r="E518" s="23" t="str">
        <f>HYPERLINK("http://www.springer.com/gp/book/9783540793564","Complex Nonlinearity")</f>
        <v>Complex Nonlinearity</v>
      </c>
      <c r="F518" s="24">
        <v>2008</v>
      </c>
      <c r="G518" s="25" t="s">
        <v>957</v>
      </c>
      <c r="H518" s="70">
        <v>252.95</v>
      </c>
      <c r="I518" s="26">
        <v>25</v>
      </c>
      <c r="J518" s="68">
        <v>189.71</v>
      </c>
      <c r="K518" s="84">
        <v>219</v>
      </c>
      <c r="L518" s="85" t="s">
        <v>958</v>
      </c>
      <c r="M518" s="27" t="s">
        <v>977</v>
      </c>
      <c r="N518" s="25"/>
      <c r="O518" s="20" t="s">
        <v>3</v>
      </c>
      <c r="P518" s="25" t="s">
        <v>836</v>
      </c>
      <c r="Q518" s="25" t="s">
        <v>837</v>
      </c>
    </row>
    <row r="519" spans="1:17" ht="13.5" customHeight="1">
      <c r="A519" s="19" t="s">
        <v>810</v>
      </c>
      <c r="B519" s="20" t="s">
        <v>1275</v>
      </c>
      <c r="C519" s="21">
        <v>9780387758886</v>
      </c>
      <c r="D519" s="22" t="s">
        <v>848</v>
      </c>
      <c r="E519" s="23" t="str">
        <f>HYPERLINK("http://www.springer.com/gp/book/9780387758886","Encyclopedia of Complexity and Systems Science")</f>
        <v>Encyclopedia of Complexity and Systems Science</v>
      </c>
      <c r="F519" s="24">
        <v>2009</v>
      </c>
      <c r="G519" s="25" t="s">
        <v>957</v>
      </c>
      <c r="H519" s="70">
        <v>4262</v>
      </c>
      <c r="I519" s="26">
        <v>30</v>
      </c>
      <c r="J519" s="68">
        <v>2983.4</v>
      </c>
      <c r="K519" s="84">
        <v>3799</v>
      </c>
      <c r="L519" s="85" t="s">
        <v>958</v>
      </c>
      <c r="M519" s="27" t="s">
        <v>977</v>
      </c>
      <c r="N519" s="25"/>
      <c r="O519" s="20" t="s">
        <v>52</v>
      </c>
      <c r="P519" s="25" t="s">
        <v>1357</v>
      </c>
      <c r="Q519" s="25"/>
    </row>
    <row r="520" spans="1:17" s="6" customFormat="1" ht="13.5" customHeight="1">
      <c r="A520" s="28" t="s">
        <v>810</v>
      </c>
      <c r="B520" s="27" t="s">
        <v>1096</v>
      </c>
      <c r="C520" s="29">
        <v>9783540718734</v>
      </c>
      <c r="D520" s="30" t="s">
        <v>1033</v>
      </c>
      <c r="E520" s="31" t="s">
        <v>1034</v>
      </c>
      <c r="F520" s="32">
        <v>2007</v>
      </c>
      <c r="G520" s="33" t="s">
        <v>957</v>
      </c>
      <c r="H520" s="71">
        <v>75.86</v>
      </c>
      <c r="I520" s="26">
        <v>30</v>
      </c>
      <c r="J520" s="68">
        <v>53.1</v>
      </c>
      <c r="K520" s="86">
        <v>64.15</v>
      </c>
      <c r="L520" s="87" t="s">
        <v>958</v>
      </c>
      <c r="M520" s="27" t="s">
        <v>995</v>
      </c>
      <c r="N520" s="29"/>
      <c r="O520" s="20" t="s">
        <v>3</v>
      </c>
      <c r="P520" s="27"/>
      <c r="Q520" s="27" t="s">
        <v>1095</v>
      </c>
    </row>
    <row r="521" spans="1:17" ht="13.5" customHeight="1">
      <c r="A521" s="28" t="s">
        <v>810</v>
      </c>
      <c r="B521" s="27" t="s">
        <v>1108</v>
      </c>
      <c r="C521" s="29">
        <v>9789814021128</v>
      </c>
      <c r="D521" s="30" t="s">
        <v>1051</v>
      </c>
      <c r="E521" s="31" t="s">
        <v>1107</v>
      </c>
      <c r="F521" s="32">
        <v>1998</v>
      </c>
      <c r="G521" s="33" t="s">
        <v>957</v>
      </c>
      <c r="H521" s="71">
        <v>281.82</v>
      </c>
      <c r="I521" s="26">
        <v>30</v>
      </c>
      <c r="J521" s="68">
        <v>197.27</v>
      </c>
      <c r="K521" s="86">
        <v>244</v>
      </c>
      <c r="L521" s="87" t="s">
        <v>958</v>
      </c>
      <c r="M521" s="27" t="s">
        <v>977</v>
      </c>
      <c r="N521" s="29"/>
      <c r="O521" s="20" t="s">
        <v>3</v>
      </c>
      <c r="P521" s="27"/>
      <c r="Q521" s="27"/>
    </row>
    <row r="522" spans="1:17" ht="13.5" customHeight="1">
      <c r="A522" s="19" t="s">
        <v>810</v>
      </c>
      <c r="B522" s="20" t="s">
        <v>1108</v>
      </c>
      <c r="C522" s="21">
        <v>9789400754607</v>
      </c>
      <c r="D522" s="22" t="s">
        <v>846</v>
      </c>
      <c r="E522" s="23" t="str">
        <f>HYPERLINK("http://www.springer.com/gp/book/9789400754607","Non-Equilibrium Thermodynamics in Multiphase Flows")</f>
        <v>Non-Equilibrium Thermodynamics in Multiphase Flows</v>
      </c>
      <c r="F522" s="24">
        <v>2013</v>
      </c>
      <c r="G522" s="25" t="s">
        <v>957</v>
      </c>
      <c r="H522" s="70">
        <v>82.72</v>
      </c>
      <c r="I522" s="26">
        <v>20</v>
      </c>
      <c r="J522" s="68">
        <v>66.18</v>
      </c>
      <c r="K522" s="84">
        <v>69.95</v>
      </c>
      <c r="L522" s="85" t="s">
        <v>958</v>
      </c>
      <c r="M522" s="27" t="s">
        <v>977</v>
      </c>
      <c r="N522" s="25"/>
      <c r="O522" s="20" t="s">
        <v>22</v>
      </c>
      <c r="P522" s="25"/>
      <c r="Q522" s="25" t="s">
        <v>847</v>
      </c>
    </row>
    <row r="523" spans="1:17" ht="13.5" customHeight="1">
      <c r="A523" s="19" t="s">
        <v>810</v>
      </c>
      <c r="B523" s="20" t="s">
        <v>1108</v>
      </c>
      <c r="C523" s="21">
        <v>9784431541677</v>
      </c>
      <c r="D523" s="22" t="s">
        <v>866</v>
      </c>
      <c r="E523" s="23" t="str">
        <f>HYPERLINK("http://www.springer.com/gp/book/9784431541677","Thermodynamics of Information Processing in Small Systems")</f>
        <v>Thermodynamics of Information Processing in Small Systems</v>
      </c>
      <c r="F523" s="24">
        <v>2013</v>
      </c>
      <c r="G523" s="25" t="s">
        <v>957</v>
      </c>
      <c r="H523" s="70">
        <v>115.44</v>
      </c>
      <c r="I523" s="26">
        <v>20</v>
      </c>
      <c r="J523" s="68">
        <v>92.35</v>
      </c>
      <c r="K523" s="84">
        <v>99.95</v>
      </c>
      <c r="L523" s="85" t="s">
        <v>958</v>
      </c>
      <c r="M523" s="27" t="s">
        <v>977</v>
      </c>
      <c r="N523" s="25"/>
      <c r="O523" s="20" t="s">
        <v>867</v>
      </c>
      <c r="P523" s="25"/>
      <c r="Q523" s="25" t="s">
        <v>868</v>
      </c>
    </row>
    <row r="524" spans="1:17" ht="13.5" customHeight="1">
      <c r="A524" s="19" t="s">
        <v>878</v>
      </c>
      <c r="B524" s="20" t="s">
        <v>1143</v>
      </c>
      <c r="C524" s="21">
        <v>9789048198399</v>
      </c>
      <c r="D524" s="22" t="s">
        <v>882</v>
      </c>
      <c r="E524" s="23" t="str">
        <f>HYPERLINK("http://www.springer.com/gp/book/9789048198399","Confronting Genocide")</f>
        <v>Confronting Genocide</v>
      </c>
      <c r="F524" s="24">
        <v>2011</v>
      </c>
      <c r="G524" s="25" t="s">
        <v>957</v>
      </c>
      <c r="H524" s="70">
        <v>173.24</v>
      </c>
      <c r="I524" s="26">
        <v>25</v>
      </c>
      <c r="J524" s="68">
        <v>129.93</v>
      </c>
      <c r="K524" s="84">
        <v>149.99</v>
      </c>
      <c r="L524" s="85" t="s">
        <v>958</v>
      </c>
      <c r="M524" s="27" t="s">
        <v>977</v>
      </c>
      <c r="N524" s="25"/>
      <c r="O524" s="20" t="s">
        <v>10</v>
      </c>
      <c r="P524" s="25"/>
      <c r="Q524" s="25" t="s">
        <v>883</v>
      </c>
    </row>
    <row r="525" spans="1:17" ht="13.5" customHeight="1">
      <c r="A525" s="19" t="s">
        <v>878</v>
      </c>
      <c r="B525" s="20" t="s">
        <v>1143</v>
      </c>
      <c r="C525" s="21">
        <v>9789400713833</v>
      </c>
      <c r="D525" s="22" t="s">
        <v>879</v>
      </c>
      <c r="E525" s="23" t="str">
        <f>HYPERLINK("http://www.springer.com/gp/book/9789400713833","Mobile Technologies for Conflict Management")</f>
        <v>Mobile Technologies for Conflict Management</v>
      </c>
      <c r="F525" s="24">
        <v>2011</v>
      </c>
      <c r="G525" s="25" t="s">
        <v>957</v>
      </c>
      <c r="H525" s="70">
        <v>173.24</v>
      </c>
      <c r="I525" s="26">
        <v>25</v>
      </c>
      <c r="J525" s="68">
        <v>129.93</v>
      </c>
      <c r="K525" s="84">
        <v>149.99</v>
      </c>
      <c r="L525" s="85" t="s">
        <v>958</v>
      </c>
      <c r="M525" s="27" t="s">
        <v>977</v>
      </c>
      <c r="N525" s="25"/>
      <c r="O525" s="20" t="s">
        <v>10</v>
      </c>
      <c r="P525" s="25" t="s">
        <v>880</v>
      </c>
      <c r="Q525" s="25" t="s">
        <v>881</v>
      </c>
    </row>
    <row r="526" spans="1:17" ht="13.5" customHeight="1">
      <c r="A526" s="19" t="s">
        <v>878</v>
      </c>
      <c r="B526" s="20" t="s">
        <v>1143</v>
      </c>
      <c r="C526" s="21">
        <v>9783642280085</v>
      </c>
      <c r="D526" s="22" t="s">
        <v>876</v>
      </c>
      <c r="E526" s="23" t="str">
        <f>HYPERLINK("http://www.springer.com/gp/book/9783642280085","Transgovernance")</f>
        <v>Transgovernance</v>
      </c>
      <c r="F526" s="24">
        <v>2013</v>
      </c>
      <c r="G526" s="25" t="s">
        <v>957</v>
      </c>
      <c r="H526" s="70">
        <v>59.07</v>
      </c>
      <c r="I526" s="26">
        <v>20</v>
      </c>
      <c r="J526" s="68">
        <v>47.26</v>
      </c>
      <c r="K526" s="84">
        <v>49.95</v>
      </c>
      <c r="L526" s="85" t="s">
        <v>958</v>
      </c>
      <c r="M526" s="27" t="s">
        <v>977</v>
      </c>
      <c r="N526" s="25"/>
      <c r="O526" s="20" t="s">
        <v>10</v>
      </c>
      <c r="P526" s="25" t="s">
        <v>877</v>
      </c>
      <c r="Q526" s="25"/>
    </row>
    <row r="527" spans="1:17" ht="13.5" customHeight="1">
      <c r="A527" s="19" t="s">
        <v>886</v>
      </c>
      <c r="B527" s="20" t="s">
        <v>1237</v>
      </c>
      <c r="C527" s="21">
        <v>9781441916976</v>
      </c>
      <c r="D527" s="22" t="s">
        <v>893</v>
      </c>
      <c r="E527" s="23" t="str">
        <f>HYPERLINK("http://www.springer.com/gp/book/9781441916976","Encyclopedia of Autism Spectrum Disorders")</f>
        <v>Encyclopedia of Autism Spectrum Disorders</v>
      </c>
      <c r="F527" s="24">
        <v>2013</v>
      </c>
      <c r="G527" s="25" t="s">
        <v>957</v>
      </c>
      <c r="H527" s="70">
        <v>1683</v>
      </c>
      <c r="I527" s="26">
        <v>25</v>
      </c>
      <c r="J527" s="68">
        <v>1262.25</v>
      </c>
      <c r="K527" s="84">
        <v>1500</v>
      </c>
      <c r="L527" s="85" t="s">
        <v>958</v>
      </c>
      <c r="M527" s="27" t="s">
        <v>977</v>
      </c>
      <c r="N527" s="25"/>
      <c r="O527" s="20" t="s">
        <v>52</v>
      </c>
      <c r="P527" s="25" t="s">
        <v>1359</v>
      </c>
      <c r="Q527" s="25"/>
    </row>
    <row r="528" spans="1:17" ht="13.5" customHeight="1">
      <c r="A528" s="19" t="s">
        <v>886</v>
      </c>
      <c r="B528" s="20" t="s">
        <v>1244</v>
      </c>
      <c r="C528" s="21">
        <v>9780387732848</v>
      </c>
      <c r="D528" s="22" t="s">
        <v>889</v>
      </c>
      <c r="E528" s="23" t="str">
        <f>HYPERLINK("http://www.springer.com/gp/book/9780387732848","Ethnocultural Perspectives on Disaster and Trauma")</f>
        <v>Ethnocultural Perspectives on Disaster and Trauma</v>
      </c>
      <c r="F528" s="24">
        <v>2008</v>
      </c>
      <c r="G528" s="25" t="s">
        <v>957</v>
      </c>
      <c r="H528" s="70">
        <v>127.04</v>
      </c>
      <c r="I528" s="26">
        <v>25</v>
      </c>
      <c r="J528" s="68">
        <v>95.28</v>
      </c>
      <c r="K528" s="84">
        <v>109.99</v>
      </c>
      <c r="L528" s="85" t="s">
        <v>958</v>
      </c>
      <c r="M528" s="27" t="s">
        <v>977</v>
      </c>
      <c r="N528" s="25"/>
      <c r="O528" s="20" t="s">
        <v>10</v>
      </c>
      <c r="P528" s="25" t="s">
        <v>890</v>
      </c>
      <c r="Q528" s="25" t="s">
        <v>891</v>
      </c>
    </row>
    <row r="529" spans="1:17" ht="13.5" customHeight="1">
      <c r="A529" s="19" t="s">
        <v>886</v>
      </c>
      <c r="B529" s="20" t="s">
        <v>1246</v>
      </c>
      <c r="C529" s="21">
        <v>9780387726601</v>
      </c>
      <c r="D529" s="22" t="s">
        <v>884</v>
      </c>
      <c r="E529" s="23" t="str">
        <f>HYPERLINK("http://www.springer.com/gp/book/9780387726601","Fragmented Intimacy")</f>
        <v>Fragmented Intimacy</v>
      </c>
      <c r="F529" s="24">
        <v>2008</v>
      </c>
      <c r="G529" s="25" t="s">
        <v>957</v>
      </c>
      <c r="H529" s="70">
        <v>79.22</v>
      </c>
      <c r="I529" s="26">
        <v>25</v>
      </c>
      <c r="J529" s="68">
        <v>59.42</v>
      </c>
      <c r="K529" s="84">
        <v>66.99</v>
      </c>
      <c r="L529" s="85" t="s">
        <v>958</v>
      </c>
      <c r="M529" s="27" t="s">
        <v>977</v>
      </c>
      <c r="N529" s="25"/>
      <c r="O529" s="20" t="s">
        <v>28</v>
      </c>
      <c r="P529" s="25" t="s">
        <v>885</v>
      </c>
      <c r="Q529" s="25"/>
    </row>
    <row r="530" spans="1:17" ht="13.5" customHeight="1">
      <c r="A530" s="19" t="s">
        <v>886</v>
      </c>
      <c r="B530" s="20" t="s">
        <v>1246</v>
      </c>
      <c r="C530" s="21">
        <v>9781441965097</v>
      </c>
      <c r="D530" s="22" t="s">
        <v>887</v>
      </c>
      <c r="E530" s="23" t="str">
        <f>HYPERLINK("http://www.springer.com/gp/book/9781441965097","Stepped Care and e-Health")</f>
        <v>Stepped Care and e-Health</v>
      </c>
      <c r="F530" s="24">
        <v>2011</v>
      </c>
      <c r="G530" s="25" t="s">
        <v>957</v>
      </c>
      <c r="H530" s="70">
        <v>196.34</v>
      </c>
      <c r="I530" s="26">
        <v>25</v>
      </c>
      <c r="J530" s="68">
        <v>147.26</v>
      </c>
      <c r="K530" s="84">
        <v>169.99</v>
      </c>
      <c r="L530" s="85" t="s">
        <v>958</v>
      </c>
      <c r="M530" s="27" t="s">
        <v>977</v>
      </c>
      <c r="N530" s="25"/>
      <c r="O530" s="20" t="s">
        <v>10</v>
      </c>
      <c r="P530" s="25" t="s">
        <v>888</v>
      </c>
      <c r="Q530" s="25"/>
    </row>
    <row r="531" spans="1:17" ht="13.5" customHeight="1">
      <c r="A531" s="19" t="s">
        <v>886</v>
      </c>
      <c r="B531" s="20" t="s">
        <v>1245</v>
      </c>
      <c r="C531" s="21">
        <v>9781441979872</v>
      </c>
      <c r="D531" s="22" t="s">
        <v>892</v>
      </c>
      <c r="E531" s="23" t="str">
        <f>HYPERLINK("http://www.springer.com/gp/book/9781441979872","Handbook of Identity Theory and Research")</f>
        <v>Handbook of Identity Theory and Research</v>
      </c>
      <c r="F531" s="24">
        <v>2011</v>
      </c>
      <c r="G531" s="25" t="s">
        <v>957</v>
      </c>
      <c r="H531" s="70">
        <v>456.46</v>
      </c>
      <c r="I531" s="26">
        <v>25</v>
      </c>
      <c r="J531" s="68">
        <v>342.35</v>
      </c>
      <c r="K531" s="84">
        <v>399</v>
      </c>
      <c r="L531" s="85" t="s">
        <v>958</v>
      </c>
      <c r="M531" s="27" t="s">
        <v>977</v>
      </c>
      <c r="N531" s="25"/>
      <c r="O531" s="20" t="s">
        <v>8</v>
      </c>
      <c r="P531" s="25"/>
      <c r="Q531" s="25"/>
    </row>
    <row r="532" spans="1:17" ht="13.5" customHeight="1">
      <c r="A532" s="19" t="s">
        <v>899</v>
      </c>
      <c r="B532" s="20" t="s">
        <v>1146</v>
      </c>
      <c r="C532" s="21">
        <v>9781441973733</v>
      </c>
      <c r="D532" s="22" t="s">
        <v>942</v>
      </c>
      <c r="E532" s="23" t="str">
        <f>HYPERLINK("http://www.springer.com/gp/book/9781441973733","Handbook of Sociology of Aging")</f>
        <v>Handbook of Sociology of Aging</v>
      </c>
      <c r="F532" s="24">
        <v>2011</v>
      </c>
      <c r="G532" s="25" t="s">
        <v>957</v>
      </c>
      <c r="H532" s="70">
        <v>287.6</v>
      </c>
      <c r="I532" s="26">
        <v>25</v>
      </c>
      <c r="J532" s="68">
        <v>215.7</v>
      </c>
      <c r="K532" s="84">
        <v>249</v>
      </c>
      <c r="L532" s="85" t="s">
        <v>958</v>
      </c>
      <c r="M532" s="27" t="s">
        <v>977</v>
      </c>
      <c r="N532" s="25"/>
      <c r="O532" s="20" t="s">
        <v>8</v>
      </c>
      <c r="P532" s="25"/>
      <c r="Q532" s="25" t="s">
        <v>943</v>
      </c>
    </row>
    <row r="533" spans="1:17" ht="13.5" customHeight="1">
      <c r="A533" s="19" t="s">
        <v>899</v>
      </c>
      <c r="B533" s="20" t="s">
        <v>1146</v>
      </c>
      <c r="C533" s="21">
        <v>9781441983442</v>
      </c>
      <c r="D533" s="22" t="s">
        <v>934</v>
      </c>
      <c r="E533" s="23" t="str">
        <f>HYPERLINK("http://www.springer.com/gp/book/9781441983442","Aging in European Societies")</f>
        <v>Aging in European Societies</v>
      </c>
      <c r="F533" s="24">
        <v>2013</v>
      </c>
      <c r="G533" s="25" t="s">
        <v>957</v>
      </c>
      <c r="H533" s="70">
        <v>179.01</v>
      </c>
      <c r="I533" s="26">
        <v>20</v>
      </c>
      <c r="J533" s="68">
        <v>143.21</v>
      </c>
      <c r="K533" s="84">
        <v>154.99</v>
      </c>
      <c r="L533" s="85" t="s">
        <v>958</v>
      </c>
      <c r="M533" s="27" t="s">
        <v>977</v>
      </c>
      <c r="N533" s="25"/>
      <c r="O533" s="20" t="s">
        <v>3</v>
      </c>
      <c r="P533" s="25" t="s">
        <v>935</v>
      </c>
      <c r="Q533" s="25" t="s">
        <v>936</v>
      </c>
    </row>
    <row r="534" spans="1:17" ht="13.5" customHeight="1">
      <c r="A534" s="19" t="s">
        <v>899</v>
      </c>
      <c r="B534" s="20" t="s">
        <v>1146</v>
      </c>
      <c r="C534" s="21">
        <v>9781461445012</v>
      </c>
      <c r="D534" s="22" t="s">
        <v>938</v>
      </c>
      <c r="E534" s="23" t="str">
        <f>HYPERLINK("http://www.springer.com/gp/book/9781461445012","Reforms in Long-Term Care Policies in Europe")</f>
        <v>Reforms in Long-Term Care Policies in Europe</v>
      </c>
      <c r="F534" s="24">
        <v>2013</v>
      </c>
      <c r="G534" s="25" t="s">
        <v>957</v>
      </c>
      <c r="H534" s="70">
        <v>179.01</v>
      </c>
      <c r="I534" s="26">
        <v>20</v>
      </c>
      <c r="J534" s="68">
        <v>143.21</v>
      </c>
      <c r="K534" s="84">
        <v>154.99</v>
      </c>
      <c r="L534" s="85" t="s">
        <v>958</v>
      </c>
      <c r="M534" s="27" t="s">
        <v>977</v>
      </c>
      <c r="N534" s="25"/>
      <c r="O534" s="20" t="s">
        <v>10</v>
      </c>
      <c r="P534" s="25" t="s">
        <v>939</v>
      </c>
      <c r="Q534" s="25"/>
    </row>
    <row r="535" spans="1:17" ht="13.5" customHeight="1">
      <c r="A535" s="19" t="s">
        <v>899</v>
      </c>
      <c r="B535" s="20" t="s">
        <v>1147</v>
      </c>
      <c r="C535" s="21">
        <v>9783211486474</v>
      </c>
      <c r="D535" s="22" t="s">
        <v>559</v>
      </c>
      <c r="E535" s="23" t="str">
        <f>HYPERLINK("http://www.springer.com/gp/book/9783211486474","Virtual Anthropology")</f>
        <v>Virtual Anthropology</v>
      </c>
      <c r="F535" s="24">
        <v>2011</v>
      </c>
      <c r="G535" s="25" t="s">
        <v>957</v>
      </c>
      <c r="H535" s="70">
        <v>94.59</v>
      </c>
      <c r="I535" s="26">
        <v>25</v>
      </c>
      <c r="J535" s="68">
        <v>70.94</v>
      </c>
      <c r="K535" s="84">
        <v>79.99</v>
      </c>
      <c r="L535" s="85" t="s">
        <v>958</v>
      </c>
      <c r="M535" s="27" t="s">
        <v>977</v>
      </c>
      <c r="N535" s="25"/>
      <c r="O535" s="20" t="s">
        <v>770</v>
      </c>
      <c r="P535" s="25" t="s">
        <v>947</v>
      </c>
      <c r="Q535" s="25"/>
    </row>
    <row r="536" spans="1:17" ht="13.5" customHeight="1">
      <c r="A536" s="19" t="s">
        <v>899</v>
      </c>
      <c r="B536" s="20" t="s">
        <v>1147</v>
      </c>
      <c r="C536" s="21">
        <v>9789400747791</v>
      </c>
      <c r="D536" s="22" t="s">
        <v>903</v>
      </c>
      <c r="E536" s="23" t="str">
        <f>HYPERLINK("http://www.springer.com/gp/book/9789400747791","Human-Environment Interactions")</f>
        <v>Human-Environment Interactions</v>
      </c>
      <c r="F536" s="24">
        <v>2013</v>
      </c>
      <c r="G536" s="25" t="s">
        <v>957</v>
      </c>
      <c r="H536" s="70">
        <v>173.24</v>
      </c>
      <c r="I536" s="26">
        <v>20</v>
      </c>
      <c r="J536" s="68">
        <v>138.59</v>
      </c>
      <c r="K536" s="84">
        <v>149.99</v>
      </c>
      <c r="L536" s="85" t="s">
        <v>958</v>
      </c>
      <c r="M536" s="27" t="s">
        <v>977</v>
      </c>
      <c r="N536" s="25"/>
      <c r="O536" s="20" t="s">
        <v>10</v>
      </c>
      <c r="P536" s="25" t="s">
        <v>904</v>
      </c>
      <c r="Q536" s="25" t="s">
        <v>905</v>
      </c>
    </row>
    <row r="537" spans="1:17" ht="13.5" customHeight="1">
      <c r="A537" s="19" t="s">
        <v>899</v>
      </c>
      <c r="B537" s="20" t="s">
        <v>1148</v>
      </c>
      <c r="C537" s="21">
        <v>9780387444536</v>
      </c>
      <c r="D537" s="22" t="s">
        <v>948</v>
      </c>
      <c r="E537" s="23" t="str">
        <f>HYPERLINK("http://www.springer.com/gp/book/9780387444536","Remote Sensing in Archaeology")</f>
        <v>Remote Sensing in Archaeology</v>
      </c>
      <c r="F537" s="24">
        <v>2007</v>
      </c>
      <c r="G537" s="25" t="s">
        <v>957</v>
      </c>
      <c r="H537" s="70">
        <v>299.15</v>
      </c>
      <c r="I537" s="26">
        <v>30</v>
      </c>
      <c r="J537" s="68">
        <v>209.41</v>
      </c>
      <c r="K537" s="84">
        <v>259</v>
      </c>
      <c r="L537" s="85" t="s">
        <v>958</v>
      </c>
      <c r="M537" s="27" t="s">
        <v>977</v>
      </c>
      <c r="N537" s="25"/>
      <c r="O537" s="20" t="s">
        <v>10</v>
      </c>
      <c r="P537" s="25"/>
      <c r="Q537" s="25" t="s">
        <v>926</v>
      </c>
    </row>
    <row r="538" spans="1:17" ht="13.5" customHeight="1">
      <c r="A538" s="19" t="s">
        <v>899</v>
      </c>
      <c r="B538" s="20" t="s">
        <v>1148</v>
      </c>
      <c r="C538" s="21">
        <v>9781461433026</v>
      </c>
      <c r="D538" s="22" t="s">
        <v>0</v>
      </c>
      <c r="E538" s="23" t="str">
        <f>HYPERLINK("http://www.springer.com/gp/book/9781461433026","An Introduction to Archaeological Chemistry")</f>
        <v>An Introduction to Archaeological Chemistry</v>
      </c>
      <c r="F538" s="24">
        <v>2011</v>
      </c>
      <c r="G538" s="25" t="s">
        <v>957</v>
      </c>
      <c r="H538" s="70">
        <v>53.2</v>
      </c>
      <c r="I538" s="26">
        <v>25</v>
      </c>
      <c r="J538" s="68">
        <v>39.9</v>
      </c>
      <c r="K538" s="84">
        <v>44.99</v>
      </c>
      <c r="L538" s="85" t="s">
        <v>958</v>
      </c>
      <c r="M538" s="27" t="s">
        <v>995</v>
      </c>
      <c r="N538" s="25"/>
      <c r="O538" s="20" t="s">
        <v>22</v>
      </c>
      <c r="P538" s="25"/>
      <c r="Q538" s="25"/>
    </row>
    <row r="539" spans="1:17" ht="13.5" customHeight="1">
      <c r="A539" s="19" t="s">
        <v>899</v>
      </c>
      <c r="B539" s="20" t="s">
        <v>1148</v>
      </c>
      <c r="C539" s="21">
        <v>9781441966322</v>
      </c>
      <c r="D539" s="22" t="s">
        <v>924</v>
      </c>
      <c r="E539" s="23" t="str">
        <f>HYPERLINK("http://www.springer.com/gp/book/9781441966322","European Prehistory")</f>
        <v>European Prehistory</v>
      </c>
      <c r="F539" s="24">
        <v>2011</v>
      </c>
      <c r="G539" s="25" t="s">
        <v>957</v>
      </c>
      <c r="H539" s="70">
        <v>184.74</v>
      </c>
      <c r="I539" s="26">
        <v>25</v>
      </c>
      <c r="J539" s="68">
        <v>138.56</v>
      </c>
      <c r="K539" s="84">
        <v>159.95</v>
      </c>
      <c r="L539" s="85" t="s">
        <v>958</v>
      </c>
      <c r="M539" s="27" t="s">
        <v>977</v>
      </c>
      <c r="N539" s="25" t="s">
        <v>1061</v>
      </c>
      <c r="O539" s="20" t="s">
        <v>22</v>
      </c>
      <c r="P539" s="25" t="s">
        <v>925</v>
      </c>
      <c r="Q539" s="25" t="s">
        <v>926</v>
      </c>
    </row>
    <row r="540" spans="1:17" ht="13.5" customHeight="1">
      <c r="A540" s="19" t="s">
        <v>899</v>
      </c>
      <c r="B540" s="20" t="s">
        <v>1148</v>
      </c>
      <c r="C540" s="21">
        <v>9781461460015</v>
      </c>
      <c r="D540" s="22" t="s">
        <v>940</v>
      </c>
      <c r="E540" s="23" t="str">
        <f>HYPERLINK("http://www.springer.com/gp/book/9781461460015","Archaeology in Society")</f>
        <v>Archaeology in Society</v>
      </c>
      <c r="F540" s="24">
        <v>2012</v>
      </c>
      <c r="G540" s="25" t="s">
        <v>957</v>
      </c>
      <c r="H540" s="70">
        <v>70.89</v>
      </c>
      <c r="I540" s="26">
        <v>20</v>
      </c>
      <c r="J540" s="68">
        <v>56.71</v>
      </c>
      <c r="K540" s="84">
        <v>59.95</v>
      </c>
      <c r="L540" s="85" t="s">
        <v>958</v>
      </c>
      <c r="M540" s="27" t="s">
        <v>995</v>
      </c>
      <c r="N540" s="25"/>
      <c r="O540" s="20" t="s">
        <v>22</v>
      </c>
      <c r="P540" s="25" t="s">
        <v>941</v>
      </c>
      <c r="Q540" s="25"/>
    </row>
    <row r="541" spans="1:17" ht="13.5" customHeight="1">
      <c r="A541" s="19" t="s">
        <v>899</v>
      </c>
      <c r="B541" s="20" t="s">
        <v>1148</v>
      </c>
      <c r="C541" s="21">
        <v>9781461441656</v>
      </c>
      <c r="D541" s="22" t="s">
        <v>927</v>
      </c>
      <c r="E541" s="23" t="str">
        <f>HYPERLINK("http://www.springer.com/gp/book/9781461441656","Prisoners of War")</f>
        <v>Prisoners of War</v>
      </c>
      <c r="F541" s="24">
        <v>2013</v>
      </c>
      <c r="G541" s="25" t="s">
        <v>957</v>
      </c>
      <c r="H541" s="70">
        <v>127.04</v>
      </c>
      <c r="I541" s="26">
        <v>20</v>
      </c>
      <c r="J541" s="68">
        <v>101.63</v>
      </c>
      <c r="K541" s="84">
        <v>109.99</v>
      </c>
      <c r="L541" s="85" t="s">
        <v>958</v>
      </c>
      <c r="M541" s="27" t="s">
        <v>977</v>
      </c>
      <c r="N541" s="25"/>
      <c r="O541" s="20" t="s">
        <v>10</v>
      </c>
      <c r="P541" s="25" t="s">
        <v>928</v>
      </c>
      <c r="Q541" s="25" t="s">
        <v>929</v>
      </c>
    </row>
    <row r="542" spans="1:17" ht="13.5" customHeight="1">
      <c r="A542" s="19" t="s">
        <v>899</v>
      </c>
      <c r="B542" s="20" t="s">
        <v>1149</v>
      </c>
      <c r="C542" s="21">
        <v>9780387097046</v>
      </c>
      <c r="D542" s="22" t="s">
        <v>897</v>
      </c>
      <c r="E542" s="23" t="str">
        <f>HYPERLINK("http://www.springer.com/gp/book/9780387097046","Violence in Europe")</f>
        <v>Violence in Europe</v>
      </c>
      <c r="F542" s="24">
        <v>2009</v>
      </c>
      <c r="G542" s="25" t="s">
        <v>957</v>
      </c>
      <c r="H542" s="70">
        <v>59.11</v>
      </c>
      <c r="I542" s="26">
        <v>25</v>
      </c>
      <c r="J542" s="68">
        <v>44.33</v>
      </c>
      <c r="K542" s="84">
        <v>49.99</v>
      </c>
      <c r="L542" s="85" t="s">
        <v>958</v>
      </c>
      <c r="M542" s="27" t="s">
        <v>995</v>
      </c>
      <c r="N542" s="25"/>
      <c r="O542" s="20" t="s">
        <v>10</v>
      </c>
      <c r="P542" s="25" t="s">
        <v>898</v>
      </c>
      <c r="Q542" s="25"/>
    </row>
    <row r="543" spans="1:17" ht="13.5" customHeight="1">
      <c r="A543" s="19" t="s">
        <v>899</v>
      </c>
      <c r="B543" s="20" t="s">
        <v>1149</v>
      </c>
      <c r="C543" s="21">
        <v>9781461413882</v>
      </c>
      <c r="D543" s="22" t="s">
        <v>937</v>
      </c>
      <c r="E543" s="23" t="str">
        <f>HYPERLINK("http://www.springer.com/gp/book/9781461413882","Handbook of Quantitative Criminology")</f>
        <v>Handbook of Quantitative Criminology</v>
      </c>
      <c r="F543" s="24">
        <v>2010</v>
      </c>
      <c r="G543" s="25" t="s">
        <v>957</v>
      </c>
      <c r="H543" s="70">
        <v>94.54</v>
      </c>
      <c r="I543" s="26">
        <v>25</v>
      </c>
      <c r="J543" s="68">
        <v>70.91</v>
      </c>
      <c r="K543" s="84">
        <v>79.95</v>
      </c>
      <c r="L543" s="85" t="s">
        <v>958</v>
      </c>
      <c r="M543" s="27" t="s">
        <v>995</v>
      </c>
      <c r="N543" s="25"/>
      <c r="O543" s="20" t="s">
        <v>22</v>
      </c>
      <c r="P543" s="25"/>
      <c r="Q543" s="25"/>
    </row>
    <row r="544" spans="1:17" ht="13.5" customHeight="1">
      <c r="A544" s="19" t="s">
        <v>899</v>
      </c>
      <c r="B544" s="20" t="s">
        <v>1149</v>
      </c>
      <c r="C544" s="21">
        <v>9781461458661</v>
      </c>
      <c r="D544" s="22" t="s">
        <v>922</v>
      </c>
      <c r="E544" s="23" t="str">
        <f>HYPERLINK("http://www.springer.com/gp/book/9781461458661","Handbook of European Homicide Research")</f>
        <v>Handbook of European Homicide Research</v>
      </c>
      <c r="F544" s="24">
        <v>2012</v>
      </c>
      <c r="G544" s="25" t="s">
        <v>957</v>
      </c>
      <c r="H544" s="70">
        <v>88.68</v>
      </c>
      <c r="I544" s="26">
        <v>20</v>
      </c>
      <c r="J544" s="68">
        <v>70.94</v>
      </c>
      <c r="K544" s="84">
        <v>74.99</v>
      </c>
      <c r="L544" s="85" t="s">
        <v>958</v>
      </c>
      <c r="M544" s="27" t="s">
        <v>995</v>
      </c>
      <c r="N544" s="25"/>
      <c r="O544" s="20" t="s">
        <v>10</v>
      </c>
      <c r="P544" s="25" t="s">
        <v>923</v>
      </c>
      <c r="Q544" s="25"/>
    </row>
    <row r="545" spans="1:17" ht="13.5" customHeight="1">
      <c r="A545" s="19" t="s">
        <v>899</v>
      </c>
      <c r="B545" s="20" t="s">
        <v>1149</v>
      </c>
      <c r="C545" s="21">
        <v>9781461421788</v>
      </c>
      <c r="D545" s="22" t="s">
        <v>915</v>
      </c>
      <c r="E545" s="23" t="str">
        <f>HYPERLINK("http://www.springer.com/gp/book/9781461421788","The Global Victimization of Children")</f>
        <v>The Global Victimization of Children</v>
      </c>
      <c r="F545" s="24">
        <v>2012</v>
      </c>
      <c r="G545" s="25" t="s">
        <v>957</v>
      </c>
      <c r="H545" s="70">
        <v>173.24</v>
      </c>
      <c r="I545" s="26">
        <v>20</v>
      </c>
      <c r="J545" s="68">
        <v>138.59</v>
      </c>
      <c r="K545" s="84">
        <v>149.99</v>
      </c>
      <c r="L545" s="85" t="s">
        <v>958</v>
      </c>
      <c r="M545" s="27" t="s">
        <v>977</v>
      </c>
      <c r="N545" s="25"/>
      <c r="O545" s="20" t="s">
        <v>3</v>
      </c>
      <c r="P545" s="25" t="s">
        <v>916</v>
      </c>
      <c r="Q545" s="25"/>
    </row>
    <row r="546" spans="1:17" ht="13.5" customHeight="1">
      <c r="A546" s="19" t="s">
        <v>899</v>
      </c>
      <c r="B546" s="20" t="s">
        <v>1151</v>
      </c>
      <c r="C546" s="21">
        <v>9788847025554</v>
      </c>
      <c r="D546" s="22" t="s">
        <v>906</v>
      </c>
      <c r="E546" s="23" t="str">
        <f>HYPERLINK("http://www.springer.com/gp/book/9788847025554","Science Centres and Science Events")</f>
        <v>Science Centres and Science Events</v>
      </c>
      <c r="F546" s="24">
        <v>2013</v>
      </c>
      <c r="G546" s="25" t="s">
        <v>957</v>
      </c>
      <c r="H546" s="70">
        <v>94.54</v>
      </c>
      <c r="I546" s="26">
        <v>20</v>
      </c>
      <c r="J546" s="68">
        <v>75.63</v>
      </c>
      <c r="K546" s="84">
        <v>79.95</v>
      </c>
      <c r="L546" s="85" t="s">
        <v>958</v>
      </c>
      <c r="M546" s="27" t="s">
        <v>977</v>
      </c>
      <c r="N546" s="25"/>
      <c r="O546" s="20" t="s">
        <v>10</v>
      </c>
      <c r="P546" s="25" t="s">
        <v>907</v>
      </c>
      <c r="Q546" s="25"/>
    </row>
    <row r="547" spans="1:17" ht="13.5" customHeight="1">
      <c r="A547" s="19" t="s">
        <v>899</v>
      </c>
      <c r="B547" s="20" t="s">
        <v>1152</v>
      </c>
      <c r="C547" s="21">
        <v>9781402066085</v>
      </c>
      <c r="D547" s="22" t="s">
        <v>917</v>
      </c>
      <c r="E547" s="23" t="str">
        <f>HYPERLINK("http://www.springer.com/gp/book/9781402066085","People, Population Change and Policies")</f>
        <v>People, Population Change and Policies</v>
      </c>
      <c r="F547" s="24">
        <v>2008</v>
      </c>
      <c r="G547" s="25" t="s">
        <v>957</v>
      </c>
      <c r="H547" s="70">
        <v>230.94</v>
      </c>
      <c r="I547" s="26">
        <v>25</v>
      </c>
      <c r="J547" s="68">
        <v>173.21</v>
      </c>
      <c r="K547" s="84">
        <v>199.95</v>
      </c>
      <c r="L547" s="85" t="s">
        <v>958</v>
      </c>
      <c r="M547" s="27" t="s">
        <v>977</v>
      </c>
      <c r="N547" s="25"/>
      <c r="O547" s="20" t="s">
        <v>10</v>
      </c>
      <c r="P547" s="25" t="s">
        <v>918</v>
      </c>
      <c r="Q547" s="25" t="s">
        <v>919</v>
      </c>
    </row>
    <row r="548" spans="1:17" ht="13.5" customHeight="1">
      <c r="A548" s="19" t="s">
        <v>899</v>
      </c>
      <c r="B548" s="20" t="s">
        <v>1157</v>
      </c>
      <c r="C548" s="21">
        <v>9789400755956</v>
      </c>
      <c r="D548" s="22" t="s">
        <v>912</v>
      </c>
      <c r="E548" s="23" t="str">
        <f>HYPERLINK("http://www.springer.com/gp/book/9789400755956","The Web of Violence")</f>
        <v>The Web of Violence</v>
      </c>
      <c r="F548" s="24">
        <v>2013</v>
      </c>
      <c r="G548" s="25" t="s">
        <v>957</v>
      </c>
      <c r="H548" s="70">
        <v>59.07</v>
      </c>
      <c r="I548" s="26">
        <v>20</v>
      </c>
      <c r="J548" s="68">
        <v>47.26</v>
      </c>
      <c r="K548" s="84">
        <v>49.95</v>
      </c>
      <c r="L548" s="85" t="s">
        <v>958</v>
      </c>
      <c r="M548" s="27" t="s">
        <v>995</v>
      </c>
      <c r="N548" s="25"/>
      <c r="O548" s="20" t="s">
        <v>44</v>
      </c>
      <c r="P548" s="25" t="s">
        <v>913</v>
      </c>
      <c r="Q548" s="25" t="s">
        <v>914</v>
      </c>
    </row>
    <row r="549" spans="1:17" ht="13.5" customHeight="1">
      <c r="A549" s="19" t="s">
        <v>899</v>
      </c>
      <c r="B549" s="20" t="s">
        <v>1157</v>
      </c>
      <c r="C549" s="21">
        <v>9781461439868</v>
      </c>
      <c r="D549" s="22" t="s">
        <v>532</v>
      </c>
      <c r="E549" s="23" t="str">
        <f>HYPERLINK("http://www.springer.com/gp/book/9781461439868","Handbook of Marriage and the Family")</f>
        <v>Handbook of Marriage and the Family</v>
      </c>
      <c r="F549" s="24">
        <v>2013</v>
      </c>
      <c r="G549" s="25" t="s">
        <v>957</v>
      </c>
      <c r="H549" s="70">
        <v>94.59</v>
      </c>
      <c r="I549" s="26">
        <v>20</v>
      </c>
      <c r="J549" s="68">
        <v>75.67</v>
      </c>
      <c r="K549" s="84">
        <v>79.99</v>
      </c>
      <c r="L549" s="85" t="s">
        <v>958</v>
      </c>
      <c r="M549" s="27" t="s">
        <v>977</v>
      </c>
      <c r="N549" s="25" t="s">
        <v>1054</v>
      </c>
      <c r="O549" s="20" t="s">
        <v>22</v>
      </c>
      <c r="P549" s="25"/>
      <c r="Q549" s="25"/>
    </row>
    <row r="550" spans="1:17" ht="13.5" customHeight="1">
      <c r="A550" s="19" t="s">
        <v>899</v>
      </c>
      <c r="B550" s="20" t="s">
        <v>1156</v>
      </c>
      <c r="C550" s="21">
        <v>9783642314353</v>
      </c>
      <c r="D550" s="22" t="s">
        <v>930</v>
      </c>
      <c r="E550" s="23" t="str">
        <f>HYPERLINK("http://www.springer.com/gp/book/9783642314353","Complex Human Dynamics")</f>
        <v>Complex Human Dynamics</v>
      </c>
      <c r="F550" s="24">
        <v>2013</v>
      </c>
      <c r="G550" s="25" t="s">
        <v>957</v>
      </c>
      <c r="H550" s="70">
        <v>121.26</v>
      </c>
      <c r="I550" s="26">
        <v>20</v>
      </c>
      <c r="J550" s="68">
        <v>97.01</v>
      </c>
      <c r="K550" s="84">
        <v>104.99</v>
      </c>
      <c r="L550" s="85" t="s">
        <v>958</v>
      </c>
      <c r="M550" s="27" t="s">
        <v>977</v>
      </c>
      <c r="N550" s="25"/>
      <c r="O550" s="20" t="s">
        <v>10</v>
      </c>
      <c r="P550" s="25" t="s">
        <v>931</v>
      </c>
      <c r="Q550" s="25" t="s">
        <v>837</v>
      </c>
    </row>
    <row r="551" spans="1:17" ht="13.5" customHeight="1">
      <c r="A551" s="19" t="s">
        <v>899</v>
      </c>
      <c r="B551" s="20" t="s">
        <v>1156</v>
      </c>
      <c r="C551" s="21">
        <v>9789400749139</v>
      </c>
      <c r="D551" s="22" t="s">
        <v>908</v>
      </c>
      <c r="E551" s="23" t="str">
        <f>HYPERLINK("http://www.springer.com/gp/book/9789400749139","Intelligent Data Mining in Law Enforcement Analytics")</f>
        <v>Intelligent Data Mining in Law Enforcement Analytics</v>
      </c>
      <c r="F551" s="24">
        <v>2013</v>
      </c>
      <c r="G551" s="25" t="s">
        <v>957</v>
      </c>
      <c r="H551" s="70">
        <v>230.99</v>
      </c>
      <c r="I551" s="26">
        <v>20</v>
      </c>
      <c r="J551" s="68">
        <v>184.79</v>
      </c>
      <c r="K551" s="84">
        <v>199.99</v>
      </c>
      <c r="L551" s="85" t="s">
        <v>958</v>
      </c>
      <c r="M551" s="27" t="s">
        <v>977</v>
      </c>
      <c r="N551" s="25"/>
      <c r="O551" s="20" t="s">
        <v>10</v>
      </c>
      <c r="P551" s="25" t="s">
        <v>909</v>
      </c>
      <c r="Q551" s="25"/>
    </row>
    <row r="552" spans="1:17" ht="13.5" customHeight="1">
      <c r="A552" s="19" t="s">
        <v>899</v>
      </c>
      <c r="B552" s="20" t="s">
        <v>1154</v>
      </c>
      <c r="C552" s="21">
        <v>9780387719528</v>
      </c>
      <c r="D552" s="22" t="s">
        <v>932</v>
      </c>
      <c r="E552" s="23" t="str">
        <f>HYPERLINK("http://www.springer.com/gp/book/9780387719528","International Migration, Social Demotion, and Imagined Advancement")</f>
        <v>International Migration, Social Demotion, and Imagined Advancement</v>
      </c>
      <c r="F552" s="24">
        <v>2008</v>
      </c>
      <c r="G552" s="25" t="s">
        <v>957</v>
      </c>
      <c r="H552" s="70">
        <v>94.59</v>
      </c>
      <c r="I552" s="26">
        <v>25</v>
      </c>
      <c r="J552" s="68">
        <v>70.94</v>
      </c>
      <c r="K552" s="84">
        <v>79.99</v>
      </c>
      <c r="L552" s="85" t="s">
        <v>958</v>
      </c>
      <c r="M552" s="27" t="s">
        <v>977</v>
      </c>
      <c r="N552" s="25"/>
      <c r="O552" s="20" t="s">
        <v>3</v>
      </c>
      <c r="P552" s="25" t="s">
        <v>933</v>
      </c>
      <c r="Q552" s="25"/>
    </row>
    <row r="553" spans="1:17" ht="13.5" customHeight="1">
      <c r="A553" s="19" t="s">
        <v>899</v>
      </c>
      <c r="B553" s="20" t="s">
        <v>1145</v>
      </c>
      <c r="C553" s="21">
        <v>9781461446019</v>
      </c>
      <c r="D553" s="22" t="s">
        <v>944</v>
      </c>
      <c r="E553" s="23" t="str">
        <f>HYPERLINK("http://www.springer.com/gp/book/9781461446019","Public Policy Analysis")</f>
        <v>Public Policy Analysis</v>
      </c>
      <c r="F553" s="24">
        <v>2013</v>
      </c>
      <c r="G553" s="25" t="s">
        <v>957</v>
      </c>
      <c r="H553" s="70">
        <v>127.04</v>
      </c>
      <c r="I553" s="26">
        <v>20</v>
      </c>
      <c r="J553" s="68">
        <v>101.63</v>
      </c>
      <c r="K553" s="84">
        <v>109.99</v>
      </c>
      <c r="L553" s="85" t="s">
        <v>958</v>
      </c>
      <c r="M553" s="27" t="s">
        <v>977</v>
      </c>
      <c r="N553" s="25"/>
      <c r="O553" s="20" t="s">
        <v>10</v>
      </c>
      <c r="P553" s="25" t="s">
        <v>945</v>
      </c>
      <c r="Q553" s="25" t="s">
        <v>946</v>
      </c>
    </row>
    <row r="554" spans="1:17" ht="13.5" customHeight="1">
      <c r="A554" s="19" t="s">
        <v>899</v>
      </c>
      <c r="B554" s="20" t="s">
        <v>1150</v>
      </c>
      <c r="C554" s="21">
        <v>9783540759768</v>
      </c>
      <c r="D554" s="22" t="s">
        <v>900</v>
      </c>
      <c r="E554" s="23" t="str">
        <f>HYPERLINK("http://www.springer.com/gp/book/9783540759768","Globalization and Environmental Challenges")</f>
        <v>Globalization and Environmental Challenges</v>
      </c>
      <c r="F554" s="24">
        <v>2008</v>
      </c>
      <c r="G554" s="25" t="s">
        <v>957</v>
      </c>
      <c r="H554" s="70">
        <v>547.98</v>
      </c>
      <c r="I554" s="26">
        <v>25</v>
      </c>
      <c r="J554" s="68">
        <v>410.99</v>
      </c>
      <c r="K554" s="84">
        <v>479</v>
      </c>
      <c r="L554" s="85" t="s">
        <v>958</v>
      </c>
      <c r="M554" s="27" t="s">
        <v>977</v>
      </c>
      <c r="N554" s="25"/>
      <c r="O554" s="20" t="s">
        <v>98</v>
      </c>
      <c r="P554" s="25" t="s">
        <v>901</v>
      </c>
      <c r="Q554" s="25" t="s">
        <v>902</v>
      </c>
    </row>
    <row r="555" spans="1:17" ht="13.5" customHeight="1">
      <c r="A555" s="19" t="s">
        <v>899</v>
      </c>
      <c r="B555" s="20" t="s">
        <v>1150</v>
      </c>
      <c r="C555" s="21">
        <v>9781441981288</v>
      </c>
      <c r="D555" s="22" t="s">
        <v>920</v>
      </c>
      <c r="E555" s="23" t="str">
        <f>HYPERLINK("http://www.springer.com/gp/book/9781441981288","Handbook of European Societies")</f>
        <v>Handbook of European Societies</v>
      </c>
      <c r="F555" s="24">
        <v>2010</v>
      </c>
      <c r="G555" s="25" t="s">
        <v>957</v>
      </c>
      <c r="H555" s="70">
        <v>127.04</v>
      </c>
      <c r="I555" s="26">
        <v>25</v>
      </c>
      <c r="J555" s="68">
        <v>95.28</v>
      </c>
      <c r="K555" s="84">
        <v>109.99</v>
      </c>
      <c r="L555" s="85" t="s">
        <v>958</v>
      </c>
      <c r="M555" s="27" t="s">
        <v>995</v>
      </c>
      <c r="N555" s="25"/>
      <c r="O555" s="20" t="s">
        <v>8</v>
      </c>
      <c r="P555" s="25" t="s">
        <v>921</v>
      </c>
      <c r="Q555" s="25"/>
    </row>
    <row r="556" spans="1:17" ht="13.5" customHeight="1">
      <c r="A556" s="19" t="s">
        <v>899</v>
      </c>
      <c r="B556" s="20" t="s">
        <v>1150</v>
      </c>
      <c r="C556" s="21">
        <v>9789400715752</v>
      </c>
      <c r="D556" s="22" t="s">
        <v>910</v>
      </c>
      <c r="E556" s="23" t="str">
        <f>HYPERLINK("http://www.springer.com/gp/book/9789400715752","Frontiers in Sociology of Education")</f>
        <v>Frontiers in Sociology of Education</v>
      </c>
      <c r="F556" s="24">
        <v>2011</v>
      </c>
      <c r="G556" s="25" t="s">
        <v>957</v>
      </c>
      <c r="H556" s="70">
        <v>213.66</v>
      </c>
      <c r="I556" s="26">
        <v>25</v>
      </c>
      <c r="J556" s="68">
        <v>160.25</v>
      </c>
      <c r="K556" s="84">
        <v>184.99</v>
      </c>
      <c r="L556" s="85" t="s">
        <v>958</v>
      </c>
      <c r="M556" s="27" t="s">
        <v>977</v>
      </c>
      <c r="N556" s="25"/>
      <c r="O556" s="20" t="s">
        <v>10</v>
      </c>
      <c r="P556" s="25"/>
      <c r="Q556" s="25" t="s">
        <v>911</v>
      </c>
    </row>
    <row r="557" spans="1:17" ht="13.5" customHeight="1">
      <c r="A557" s="19" t="s">
        <v>951</v>
      </c>
      <c r="B557" s="20" t="s">
        <v>1216</v>
      </c>
      <c r="C557" s="21">
        <v>9780387317427</v>
      </c>
      <c r="D557" s="22" t="s">
        <v>952</v>
      </c>
      <c r="E557" s="23" t="str">
        <f>HYPERLINK("http://www.springer.com/gp/book/9780387317427","The Concise Encyclopedia of Statistics")</f>
        <v>The Concise Encyclopedia of Statistics</v>
      </c>
      <c r="F557" s="24">
        <v>2010</v>
      </c>
      <c r="G557" s="25" t="s">
        <v>957</v>
      </c>
      <c r="H557" s="70">
        <v>287.6</v>
      </c>
      <c r="I557" s="26">
        <v>25</v>
      </c>
      <c r="J557" s="68">
        <v>215.7</v>
      </c>
      <c r="K557" s="84">
        <v>249</v>
      </c>
      <c r="L557" s="85" t="s">
        <v>958</v>
      </c>
      <c r="M557" s="27" t="s">
        <v>977</v>
      </c>
      <c r="N557" s="25"/>
      <c r="O557" s="20" t="s">
        <v>52</v>
      </c>
      <c r="P557" s="25"/>
      <c r="Q557" s="25"/>
    </row>
    <row r="558" spans="1:17" ht="13.5" customHeight="1">
      <c r="A558" s="19" t="s">
        <v>951</v>
      </c>
      <c r="B558" s="20" t="s">
        <v>1268</v>
      </c>
      <c r="C558" s="21">
        <v>9780387953489</v>
      </c>
      <c r="D558" s="22" t="s">
        <v>955</v>
      </c>
      <c r="E558" s="23" t="str">
        <f>HYPERLINK("http://www.springer.com/gp/book/9780387953489","Topics in Optimal Design")</f>
        <v>Topics in Optimal Design</v>
      </c>
      <c r="F558" s="24">
        <v>2002</v>
      </c>
      <c r="G558" s="25" t="s">
        <v>957</v>
      </c>
      <c r="H558" s="70">
        <v>106.41</v>
      </c>
      <c r="I558" s="26">
        <v>30</v>
      </c>
      <c r="J558" s="68">
        <v>74.49</v>
      </c>
      <c r="K558" s="84">
        <v>89.99</v>
      </c>
      <c r="L558" s="85" t="s">
        <v>958</v>
      </c>
      <c r="M558" s="27" t="s">
        <v>995</v>
      </c>
      <c r="N558" s="25"/>
      <c r="O558" s="20" t="s">
        <v>3</v>
      </c>
      <c r="P558" s="25"/>
      <c r="Q558" s="25" t="s">
        <v>956</v>
      </c>
    </row>
    <row r="559" spans="1:17" ht="13.5" customHeight="1">
      <c r="A559" s="19" t="s">
        <v>951</v>
      </c>
      <c r="B559" s="20" t="s">
        <v>1268</v>
      </c>
      <c r="C559" s="21">
        <v>9783764389048</v>
      </c>
      <c r="D559" s="22" t="s">
        <v>953</v>
      </c>
      <c r="E559" s="23" t="str">
        <f>HYPERLINK("http://www.springer.com/gp/book/9783764389048","Lectures on Algebraic Statistics")</f>
        <v>Lectures on Algebraic Statistics</v>
      </c>
      <c r="F559" s="24">
        <v>2009</v>
      </c>
      <c r="G559" s="25" t="s">
        <v>957</v>
      </c>
      <c r="H559" s="70">
        <v>29.44</v>
      </c>
      <c r="I559" s="26">
        <v>25</v>
      </c>
      <c r="J559" s="68">
        <v>22.08</v>
      </c>
      <c r="K559" s="84">
        <v>24.9</v>
      </c>
      <c r="L559" s="85" t="s">
        <v>958</v>
      </c>
      <c r="M559" s="27" t="s">
        <v>995</v>
      </c>
      <c r="N559" s="25"/>
      <c r="O559" s="20" t="s">
        <v>22</v>
      </c>
      <c r="P559" s="25"/>
      <c r="Q559" s="25" t="s">
        <v>954</v>
      </c>
    </row>
    <row r="560" spans="1:17" s="6" customFormat="1" ht="13.5" customHeight="1">
      <c r="A560" s="19" t="s">
        <v>951</v>
      </c>
      <c r="B560" s="20" t="s">
        <v>1268</v>
      </c>
      <c r="C560" s="21">
        <v>9783642201912</v>
      </c>
      <c r="D560" s="22" t="s">
        <v>949</v>
      </c>
      <c r="E560" s="23" t="str">
        <f>HYPERLINK("http://www.springer.com/gp/book/9783642201912","Statistics for High-Dimensional Data")</f>
        <v>Statistics for High-Dimensional Data</v>
      </c>
      <c r="F560" s="24">
        <v>2011</v>
      </c>
      <c r="G560" s="25" t="s">
        <v>957</v>
      </c>
      <c r="H560" s="70">
        <v>138.59</v>
      </c>
      <c r="I560" s="26">
        <v>25</v>
      </c>
      <c r="J560" s="68">
        <v>103.94</v>
      </c>
      <c r="K560" s="84">
        <v>119.99</v>
      </c>
      <c r="L560" s="85" t="s">
        <v>958</v>
      </c>
      <c r="M560" s="27" t="s">
        <v>977</v>
      </c>
      <c r="N560" s="25"/>
      <c r="O560" s="20" t="s">
        <v>3</v>
      </c>
      <c r="P560" s="25" t="s">
        <v>950</v>
      </c>
      <c r="Q560" s="25" t="s">
        <v>572</v>
      </c>
    </row>
  </sheetData>
  <sheetProtection selectLockedCells="1" selectUnlockedCells="1"/>
  <conditionalFormatting sqref="C17">
    <cfRule type="duplicateValues" priority="50" dxfId="0">
      <formula>AND(COUNTIF($C$17:$C$17,C17)&gt;1,NOT(ISBLANK(C17)))</formula>
    </cfRule>
  </conditionalFormatting>
  <conditionalFormatting sqref="C67">
    <cfRule type="duplicateValues" priority="49" dxfId="0">
      <formula>AND(COUNTIF($C$67:$C$67,C67)&gt;1,NOT(ISBLANK(C67)))</formula>
    </cfRule>
  </conditionalFormatting>
  <conditionalFormatting sqref="C83">
    <cfRule type="duplicateValues" priority="48" dxfId="0">
      <formula>AND(COUNTIF($C$83:$C$83,C83)&gt;1,NOT(ISBLANK(C83)))</formula>
    </cfRule>
  </conditionalFormatting>
  <conditionalFormatting sqref="C95">
    <cfRule type="duplicateValues" priority="47" dxfId="0">
      <formula>AND(COUNTIF($C$95:$C$95,C95)&gt;1,NOT(ISBLANK(C95)))</formula>
    </cfRule>
  </conditionalFormatting>
  <conditionalFormatting sqref="C102">
    <cfRule type="duplicateValues" priority="46" dxfId="0">
      <formula>AND(COUNTIF($C$102:$C$102,C102)&gt;1,NOT(ISBLANK(C102)))</formula>
    </cfRule>
  </conditionalFormatting>
  <conditionalFormatting sqref="C116">
    <cfRule type="duplicateValues" priority="45" dxfId="0">
      <formula>AND(COUNTIF($C$116:$C$116,C116)&gt;1,NOT(ISBLANK(C116)))</formula>
    </cfRule>
  </conditionalFormatting>
  <conditionalFormatting sqref="C119">
    <cfRule type="duplicateValues" priority="44" dxfId="0">
      <formula>AND(COUNTIF($C$119:$C$119,C119)&gt;1,NOT(ISBLANK(C119)))</formula>
    </cfRule>
  </conditionalFormatting>
  <conditionalFormatting sqref="C153">
    <cfRule type="duplicateValues" priority="43" dxfId="0">
      <formula>AND(COUNTIF($C$153:$C$153,C153)&gt;1,NOT(ISBLANK(C153)))</formula>
    </cfRule>
  </conditionalFormatting>
  <conditionalFormatting sqref="C223">
    <cfRule type="duplicateValues" priority="42" dxfId="0">
      <formula>AND(COUNTIF($C$223:$C$223,C223)&gt;1,NOT(ISBLANK(C223)))</formula>
    </cfRule>
  </conditionalFormatting>
  <conditionalFormatting sqref="C222">
    <cfRule type="duplicateValues" priority="41" dxfId="0">
      <formula>AND(COUNTIF($C$222:$C$222,C222)&gt;1,NOT(ISBLANK(C222)))</formula>
    </cfRule>
  </conditionalFormatting>
  <conditionalFormatting sqref="C505">
    <cfRule type="duplicateValues" priority="40" dxfId="0">
      <formula>AND(COUNTIF($C$505:$C$505,C505)&gt;1,NOT(ISBLANK(C505)))</formula>
    </cfRule>
  </conditionalFormatting>
  <conditionalFormatting sqref="C506">
    <cfRule type="duplicateValues" priority="39" dxfId="0">
      <formula>AND(COUNTIF($C$506:$C$506,C506)&gt;1,NOT(ISBLANK(C506)))</formula>
    </cfRule>
  </conditionalFormatting>
  <conditionalFormatting sqref="C498:C501">
    <cfRule type="duplicateValues" priority="37" dxfId="0">
      <formula>AND(COUNTIF($C$498:$C$501,C498)&gt;1,NOT(ISBLANK(C498)))</formula>
    </cfRule>
  </conditionalFormatting>
  <conditionalFormatting sqref="C315">
    <cfRule type="duplicateValues" priority="36" dxfId="0">
      <formula>AND(COUNTIF($C$315:$C$315,C315)&gt;1,NOT(ISBLANK(C315)))</formula>
    </cfRule>
  </conditionalFormatting>
  <conditionalFormatting sqref="C306">
    <cfRule type="duplicateValues" priority="35" dxfId="0">
      <formula>AND(COUNTIF($C$306:$C$306,C306)&gt;1,NOT(ISBLANK(C306)))</formula>
    </cfRule>
  </conditionalFormatting>
  <conditionalFormatting sqref="C304">
    <cfRule type="duplicateValues" priority="34" dxfId="0">
      <formula>AND(COUNTIF($C$304:$C$304,C304)&gt;1,NOT(ISBLANK(C304)))</formula>
    </cfRule>
  </conditionalFormatting>
  <conditionalFormatting sqref="C284">
    <cfRule type="duplicateValues" priority="33" dxfId="0">
      <formula>AND(COUNTIF($C$284:$C$284,C284)&gt;1,NOT(ISBLANK(C284)))</formula>
    </cfRule>
  </conditionalFormatting>
  <conditionalFormatting sqref="C246:C248">
    <cfRule type="duplicateValues" priority="32" dxfId="0">
      <formula>AND(COUNTIF($C$246:$C$248,C246)&gt;1,NOT(ISBLANK(C246)))</formula>
    </cfRule>
  </conditionalFormatting>
  <conditionalFormatting sqref="C244">
    <cfRule type="duplicateValues" priority="31" dxfId="0">
      <formula>AND(COUNTIF($C$244:$C$244,C244)&gt;1,NOT(ISBLANK(C244)))</formula>
    </cfRule>
  </conditionalFormatting>
  <conditionalFormatting sqref="C18">
    <cfRule type="duplicateValues" priority="51" dxfId="0">
      <formula>AND(COUNTIF($C$18:$C$18,C18)&gt;1,NOT(ISBLANK(C18)))</formula>
    </cfRule>
  </conditionalFormatting>
  <conditionalFormatting sqref="C36">
    <cfRule type="duplicateValues" priority="53" dxfId="0">
      <formula>AND(COUNTIF($C$36:$C$36,C36)&gt;1,NOT(ISBLANK(C36)))</formula>
    </cfRule>
  </conditionalFormatting>
  <conditionalFormatting sqref="C39">
    <cfRule type="duplicateValues" priority="54" dxfId="0">
      <formula>AND(COUNTIF($C$39:$C$39,C39)&gt;1,NOT(ISBLANK(C39)))</formula>
    </cfRule>
  </conditionalFormatting>
  <conditionalFormatting sqref="C107">
    <cfRule type="duplicateValues" priority="55" dxfId="0">
      <formula>AND(COUNTIF($C$107:$C$107,C107)&gt;1,NOT(ISBLANK(C107)))</formula>
    </cfRule>
  </conditionalFormatting>
  <conditionalFormatting sqref="C109">
    <cfRule type="duplicateValues" priority="56" dxfId="0">
      <formula>AND(COUNTIF($C$109:$C$109,C109)&gt;1,NOT(ISBLANK(C109)))</formula>
    </cfRule>
  </conditionalFormatting>
  <conditionalFormatting sqref="C123">
    <cfRule type="duplicateValues" priority="57" dxfId="0">
      <formula>AND(COUNTIF($C$123:$C$123,C123)&gt;1,NOT(ISBLANK(C123)))</formula>
    </cfRule>
  </conditionalFormatting>
  <conditionalFormatting sqref="C220">
    <cfRule type="duplicateValues" priority="58" dxfId="0">
      <formula>AND(COUNTIF($C$220:$C$220,C220)&gt;1,NOT(ISBLANK(C220)))</formula>
    </cfRule>
  </conditionalFormatting>
  <conditionalFormatting sqref="C235:C239">
    <cfRule type="duplicateValues" priority="59" dxfId="0">
      <formula>AND(COUNTIF($C$235:$C$239,C235)&gt;1,NOT(ISBLANK(C235)))</formula>
    </cfRule>
  </conditionalFormatting>
  <conditionalFormatting sqref="C252">
    <cfRule type="duplicateValues" priority="60" dxfId="0">
      <formula>AND(COUNTIF($C$252:$C$252,C252)&gt;1,NOT(ISBLANK(C252)))</formula>
    </cfRule>
  </conditionalFormatting>
  <conditionalFormatting sqref="C259">
    <cfRule type="duplicateValues" priority="61" dxfId="0">
      <formula>AND(COUNTIF($C$259:$C$259,C259)&gt;1,NOT(ISBLANK(C259)))</formula>
    </cfRule>
  </conditionalFormatting>
  <conditionalFormatting sqref="C267:C268">
    <cfRule type="duplicateValues" priority="62" dxfId="0">
      <formula>AND(COUNTIF($C$267:$C$268,C267)&gt;1,NOT(ISBLANK(C267)))</formula>
    </cfRule>
  </conditionalFormatting>
  <conditionalFormatting sqref="C275">
    <cfRule type="duplicateValues" priority="63" dxfId="0">
      <formula>AND(COUNTIF($C$275:$C$275,C275)&gt;1,NOT(ISBLANK(C275)))</formula>
    </cfRule>
  </conditionalFormatting>
  <conditionalFormatting sqref="C295">
    <cfRule type="duplicateValues" priority="64" dxfId="0">
      <formula>AND(COUNTIF($C$295:$C$295,C295)&gt;1,NOT(ISBLANK(C295)))</formula>
    </cfRule>
  </conditionalFormatting>
  <conditionalFormatting sqref="C312">
    <cfRule type="duplicateValues" priority="65" dxfId="0">
      <formula>AND(COUNTIF($C$312:$C$312,C312)&gt;1,NOT(ISBLANK(C312)))</formula>
    </cfRule>
  </conditionalFormatting>
  <conditionalFormatting sqref="C321">
    <cfRule type="duplicateValues" priority="66" dxfId="0">
      <formula>AND(COUNTIF($C$321:$C$321,C321)&gt;1,NOT(ISBLANK(C321)))</formula>
    </cfRule>
  </conditionalFormatting>
  <conditionalFormatting sqref="C345">
    <cfRule type="duplicateValues" priority="67" dxfId="0">
      <formula>AND(COUNTIF($C$345:$C$345,C345)&gt;1,NOT(ISBLANK(C345)))</formula>
    </cfRule>
  </conditionalFormatting>
  <conditionalFormatting sqref="C377">
    <cfRule type="duplicateValues" priority="68" dxfId="0">
      <formula>AND(COUNTIF($C$377:$C$377,C377)&gt;1,NOT(ISBLANK(C377)))</formula>
    </cfRule>
  </conditionalFormatting>
  <conditionalFormatting sqref="C394:C395">
    <cfRule type="duplicateValues" priority="69" dxfId="0">
      <formula>AND(COUNTIF($C$394:$C$395,C394)&gt;1,NOT(ISBLANK(C394)))</formula>
    </cfRule>
  </conditionalFormatting>
  <conditionalFormatting sqref="C429">
    <cfRule type="duplicateValues" priority="70" dxfId="0">
      <formula>AND(COUNTIF($C$429:$C$429,C429)&gt;1,NOT(ISBLANK(C429)))</formula>
    </cfRule>
  </conditionalFormatting>
  <conditionalFormatting sqref="C431">
    <cfRule type="duplicateValues" priority="71" dxfId="0">
      <formula>AND(COUNTIF($C$431:$C$431,C431)&gt;1,NOT(ISBLANK(C431)))</formula>
    </cfRule>
  </conditionalFormatting>
  <conditionalFormatting sqref="C441">
    <cfRule type="duplicateValues" priority="72" dxfId="0">
      <formula>AND(COUNTIF($C$441:$C$441,C441)&gt;1,NOT(ISBLANK(C441)))</formula>
    </cfRule>
  </conditionalFormatting>
  <conditionalFormatting sqref="C503">
    <cfRule type="duplicateValues" priority="73" dxfId="0">
      <formula>AND(COUNTIF($C$503:$C$503,C503)&gt;1,NOT(ISBLANK(C503)))</formula>
    </cfRule>
  </conditionalFormatting>
  <conditionalFormatting sqref="C515">
    <cfRule type="duplicateValues" priority="74" dxfId="0">
      <formula>AND(COUNTIF($C$515:$C$515,C515)&gt;1,NOT(ISBLANK(C515)))</formula>
    </cfRule>
  </conditionalFormatting>
  <conditionalFormatting sqref="C520">
    <cfRule type="duplicateValues" priority="75" dxfId="0">
      <formula>AND(COUNTIF($C$520:$C$520,C520)&gt;1,NOT(ISBLANK(C520)))</formula>
    </cfRule>
  </conditionalFormatting>
  <conditionalFormatting sqref="C560">
    <cfRule type="duplicateValues" priority="76" dxfId="0">
      <formula>AND(COUNTIF($C$560:$C$560,C560)&gt;1,NOT(ISBLANK(C560)))</formula>
    </cfRule>
  </conditionalFormatting>
  <conditionalFormatting sqref="E4:E6">
    <cfRule type="duplicateValues" priority="1" dxfId="0">
      <formula>AND(COUNTIF($E$4:$E$6,E4)&gt;1,NOT(ISBLANK(E4)))</formula>
    </cfRule>
  </conditionalFormatting>
  <conditionalFormatting sqref="A1:A15">
    <cfRule type="duplicateValues" priority="77" dxfId="0">
      <formula>AND(COUNTIF($A$1:$A$15,A1)&gt;1,NOT(ISBLANK(A1)))</formula>
    </cfRule>
  </conditionalFormatting>
  <hyperlinks>
    <hyperlink ref="A11" r:id="rId1" display="facebook.com/Malé-Centrum"/>
    <hyperlink ref="E5" r:id="rId2" display="http://www.facebook.com/BookwormsNest"/>
    <hyperlink ref="E6" r:id="rId3" display="www.bookwormsnest.eu"/>
    <hyperlink ref="B2" r:id="rId4" display="www.malecentrum.sk"/>
  </hyperlinks>
  <printOptions gridLines="1" horizontalCentered="1"/>
  <pageMargins left="0.3541666666666667" right="0.27569444444444446" top="0.6298611111111111" bottom="0.8666666666666667" header="0.5118055555555555" footer="0.5513888888888889"/>
  <pageSetup fitToHeight="24" fitToWidth="1" horizontalDpi="300" verticalDpi="300" orientation="landscape" pageOrder="overThenDown" paperSize="9" r:id="rId6"/>
  <headerFooter alignWithMargins="0">
    <oddHeader>&amp;CTAB]</oddHeader>
    <oddFooter>&amp;L&amp;8&amp;F, &amp;A
Not valid in North and South America. Subject to change without notice.&amp;C&amp;8Springer
springer.com/booksellers&amp;R&amp;8page &amp;P of  &amp;N
&amp;D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dcterms:created xsi:type="dcterms:W3CDTF">2016-03-15T14:12:04Z</dcterms:created>
  <dcterms:modified xsi:type="dcterms:W3CDTF">2016-03-22T13:02:22Z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